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Asus\Downloads\Funding Request 2021-2023\Quantification\"/>
    </mc:Choice>
  </mc:AlternateContent>
  <bookViews>
    <workbookView xWindow="-120" yWindow="-120" windowWidth="20730" windowHeight="11160" tabRatio="500" activeTab="2"/>
  </bookViews>
  <sheets>
    <sheet name="LLIN CHT" sheetId="5" r:id="rId1"/>
    <sheet name="Non-CHT" sheetId="11" r:id="rId2"/>
    <sheet name="LLIN requirement summary" sheetId="8" r:id="rId3"/>
    <sheet name="RDT" sheetId="1" r:id="rId4"/>
    <sheet name="Case summary" sheetId="15" r:id="rId5"/>
    <sheet name="API" sheetId="3" r:id="rId6"/>
    <sheet name="antimalarials" sheetId="2" r:id="rId7"/>
    <sheet name="Quarterly Case, test" sheetId="20" r:id="rId8"/>
    <sheet name="Calculation for PF" sheetId="19" r:id="rId9"/>
    <sheet name="Dist pop" sheetId="17" r:id="rId10"/>
    <sheet name="Unit cost" sheetId="13" r:id="rId11"/>
    <sheet name="Quantification summary" sheetId="12" r:id="rId12"/>
    <sheet name="NMEP Min cost wout activities" sheetId="16" state="hidden" r:id="rId13"/>
  </sheets>
  <externalReferences>
    <externalReference r:id="rId14"/>
  </externalReferences>
  <calcPr calcId="152511"/>
</workbook>
</file>

<file path=xl/calcChain.xml><?xml version="1.0" encoding="utf-8"?>
<calcChain xmlns="http://schemas.openxmlformats.org/spreadsheetml/2006/main">
  <c r="B92" i="1" l="1"/>
  <c r="C92" i="1"/>
  <c r="D92" i="1"/>
  <c r="E92" i="1"/>
  <c r="F92" i="1"/>
  <c r="B24" i="19" l="1"/>
  <c r="B8" i="19" l="1"/>
  <c r="E12" i="19" l="1"/>
  <c r="F12" i="19"/>
  <c r="E13" i="19"/>
  <c r="F13" i="19"/>
  <c r="D13" i="19"/>
  <c r="D12" i="19"/>
  <c r="B3" i="19"/>
  <c r="B9" i="19" s="1"/>
  <c r="B7" i="15" l="1"/>
  <c r="B6" i="15"/>
  <c r="J37" i="11" l="1"/>
  <c r="I36" i="11"/>
  <c r="H35" i="11"/>
  <c r="G34" i="11"/>
  <c r="H88" i="2" l="1"/>
  <c r="G88" i="2"/>
  <c r="F88" i="2"/>
  <c r="E88" i="2"/>
  <c r="H87" i="2"/>
  <c r="G87" i="2"/>
  <c r="F87" i="2"/>
  <c r="E87" i="2"/>
  <c r="H86" i="2"/>
  <c r="G86" i="2"/>
  <c r="F86" i="2"/>
  <c r="E86" i="2"/>
  <c r="H85" i="2"/>
  <c r="G85" i="2"/>
  <c r="F85" i="2"/>
  <c r="E85" i="2"/>
  <c r="H84" i="2"/>
  <c r="G84" i="2"/>
  <c r="F84" i="2"/>
  <c r="E84" i="2"/>
  <c r="H83" i="2"/>
  <c r="G83" i="2"/>
  <c r="F83" i="2"/>
  <c r="E83" i="2"/>
  <c r="D88" i="2"/>
  <c r="D87" i="2"/>
  <c r="D86" i="2"/>
  <c r="D85" i="2"/>
  <c r="D84" i="2"/>
  <c r="D83" i="2"/>
  <c r="C88" i="2"/>
  <c r="C87" i="2"/>
  <c r="C86" i="2"/>
  <c r="C85" i="2"/>
  <c r="C84" i="2"/>
  <c r="C83" i="2"/>
  <c r="B88" i="2"/>
  <c r="B87" i="2"/>
  <c r="B86" i="2"/>
  <c r="B85" i="2"/>
  <c r="B84" i="2"/>
  <c r="B83" i="2"/>
  <c r="D56" i="8" l="1"/>
  <c r="E56" i="8" s="1"/>
  <c r="F56" i="8" s="1"/>
  <c r="G56" i="8" s="1"/>
  <c r="H56" i="8" s="1"/>
  <c r="I56" i="8" s="1"/>
  <c r="D22" i="8"/>
  <c r="E22" i="8" s="1"/>
  <c r="F22" i="8" s="1"/>
  <c r="G22" i="8" s="1"/>
  <c r="H22" i="8" s="1"/>
  <c r="I22" i="8" s="1"/>
  <c r="I16" i="8"/>
  <c r="H16" i="8"/>
  <c r="G16" i="8"/>
  <c r="F16" i="8"/>
  <c r="E16" i="8"/>
  <c r="I65" i="8"/>
  <c r="H65" i="8"/>
  <c r="G65" i="8"/>
  <c r="F65" i="8"/>
  <c r="E65" i="8"/>
  <c r="E16" i="11"/>
  <c r="K18" i="19" l="1"/>
  <c r="J18" i="19"/>
  <c r="M7" i="15" l="1"/>
  <c r="L7" i="15"/>
  <c r="K7" i="15"/>
  <c r="J7" i="15"/>
  <c r="I7" i="15"/>
  <c r="H7" i="15"/>
  <c r="G7" i="15"/>
  <c r="F7" i="15"/>
  <c r="E7" i="15"/>
  <c r="D7" i="15"/>
  <c r="C7" i="15"/>
  <c r="D9" i="20" l="1"/>
  <c r="D8" i="20"/>
  <c r="D7" i="20"/>
  <c r="D5" i="20"/>
  <c r="D4" i="20"/>
  <c r="D3" i="20"/>
  <c r="D30" i="20"/>
  <c r="B29" i="20"/>
  <c r="D29" i="20" s="1"/>
  <c r="D27" i="20"/>
  <c r="D28" i="20"/>
  <c r="J21" i="20"/>
  <c r="G21" i="20"/>
  <c r="J20" i="20"/>
  <c r="G20" i="20"/>
  <c r="D20" i="20" s="1"/>
  <c r="J19" i="20"/>
  <c r="G19" i="20"/>
  <c r="D19" i="20" s="1"/>
  <c r="D13" i="20"/>
  <c r="D15" i="20"/>
  <c r="D14" i="20"/>
  <c r="D10" i="20"/>
  <c r="J5" i="20"/>
  <c r="G5" i="20"/>
  <c r="J4" i="20"/>
  <c r="G4" i="20"/>
  <c r="J3" i="20"/>
  <c r="G3" i="20"/>
  <c r="E6" i="20"/>
  <c r="E7" i="20" s="1"/>
  <c r="D21" i="20" l="1"/>
  <c r="G6" i="20"/>
  <c r="J6" i="20"/>
  <c r="J8" i="20" s="1"/>
  <c r="F22" i="20"/>
  <c r="F23" i="20" s="1"/>
  <c r="J22" i="20"/>
  <c r="J23" i="20" s="1"/>
  <c r="E13" i="20"/>
  <c r="E10" i="20"/>
  <c r="G9" i="20"/>
  <c r="G8" i="20"/>
  <c r="G7" i="20"/>
  <c r="J7" i="20"/>
  <c r="H6" i="20"/>
  <c r="H7" i="20" s="1"/>
  <c r="I6" i="20"/>
  <c r="I7" i="20" s="1"/>
  <c r="F6" i="20"/>
  <c r="F9" i="20" s="1"/>
  <c r="E9" i="20"/>
  <c r="D12" i="20"/>
  <c r="H22" i="20"/>
  <c r="H23" i="20" s="1"/>
  <c r="D26" i="20"/>
  <c r="D31" i="20"/>
  <c r="G22" i="20"/>
  <c r="E8" i="20"/>
  <c r="D11" i="20"/>
  <c r="E22" i="20"/>
  <c r="E24" i="20" s="1"/>
  <c r="I22" i="20"/>
  <c r="I24" i="20" s="1"/>
  <c r="J9" i="20" l="1"/>
  <c r="I25" i="20"/>
  <c r="I31" i="20" s="1"/>
  <c r="H25" i="20"/>
  <c r="H28" i="20" s="1"/>
  <c r="I23" i="20"/>
  <c r="I26" i="20" s="1"/>
  <c r="H9" i="20"/>
  <c r="H12" i="20" s="1"/>
  <c r="I8" i="20"/>
  <c r="I11" i="20" s="1"/>
  <c r="H29" i="20"/>
  <c r="H26" i="20"/>
  <c r="H10" i="20"/>
  <c r="H13" i="20"/>
  <c r="E30" i="20"/>
  <c r="E27" i="20"/>
  <c r="G24" i="20"/>
  <c r="G25" i="20"/>
  <c r="I10" i="20"/>
  <c r="I13" i="20"/>
  <c r="H15" i="20"/>
  <c r="G13" i="20"/>
  <c r="G10" i="20"/>
  <c r="E25" i="20"/>
  <c r="J12" i="20"/>
  <c r="J15" i="20"/>
  <c r="H8" i="20"/>
  <c r="H24" i="20"/>
  <c r="G14" i="20"/>
  <c r="G11" i="20"/>
  <c r="J25" i="20"/>
  <c r="J24" i="20"/>
  <c r="I9" i="20"/>
  <c r="J13" i="20"/>
  <c r="J10" i="20"/>
  <c r="J26" i="20"/>
  <c r="J29" i="20"/>
  <c r="E11" i="20"/>
  <c r="E14" i="20"/>
  <c r="E23" i="20"/>
  <c r="E15" i="20"/>
  <c r="E12" i="20"/>
  <c r="F26" i="20"/>
  <c r="F29" i="20"/>
  <c r="G23" i="20"/>
  <c r="I30" i="20"/>
  <c r="I27" i="20"/>
  <c r="F12" i="20"/>
  <c r="F15" i="20"/>
  <c r="F7" i="20"/>
  <c r="F8" i="20"/>
  <c r="J11" i="20"/>
  <c r="J14" i="20"/>
  <c r="G12" i="20"/>
  <c r="G15" i="20"/>
  <c r="F24" i="20"/>
  <c r="F25" i="20"/>
  <c r="I29" i="20" l="1"/>
  <c r="H31" i="20"/>
  <c r="I28" i="20"/>
  <c r="I14" i="20"/>
  <c r="F13" i="20"/>
  <c r="F10" i="20"/>
  <c r="J27" i="20"/>
  <c r="J30" i="20"/>
  <c r="H30" i="20"/>
  <c r="H27" i="20"/>
  <c r="F31" i="20"/>
  <c r="F28" i="20"/>
  <c r="G29" i="20"/>
  <c r="G26" i="20"/>
  <c r="I15" i="20"/>
  <c r="I12" i="20"/>
  <c r="J31" i="20"/>
  <c r="J28" i="20"/>
  <c r="H14" i="20"/>
  <c r="H11" i="20"/>
  <c r="G28" i="20"/>
  <c r="G31" i="20"/>
  <c r="F27" i="20"/>
  <c r="F30" i="20"/>
  <c r="E26" i="20"/>
  <c r="E29" i="20"/>
  <c r="G27" i="20"/>
  <c r="G30" i="20"/>
  <c r="F14" i="20"/>
  <c r="F11" i="20"/>
  <c r="E31" i="20"/>
  <c r="E28" i="20"/>
  <c r="L14" i="19" l="1"/>
  <c r="L15" i="19"/>
  <c r="L16" i="19"/>
  <c r="L17" i="19"/>
  <c r="L13" i="19"/>
  <c r="B13" i="19"/>
  <c r="B12" i="19"/>
  <c r="L18" i="19" l="1"/>
  <c r="D8" i="19"/>
  <c r="E8" i="19"/>
  <c r="F8" i="19"/>
  <c r="C8" i="19"/>
  <c r="C6" i="19"/>
  <c r="D6" i="19"/>
  <c r="E6" i="19"/>
  <c r="F6" i="19"/>
  <c r="B6" i="19"/>
  <c r="D4" i="19"/>
  <c r="E4" i="19"/>
  <c r="F4" i="19"/>
  <c r="C4" i="19"/>
  <c r="E20" i="19" l="1"/>
  <c r="E19" i="19"/>
  <c r="F19" i="19"/>
  <c r="F20" i="19"/>
  <c r="D19" i="19"/>
  <c r="D20" i="19"/>
  <c r="F18" i="19"/>
  <c r="F17" i="19"/>
  <c r="E18" i="19"/>
  <c r="E17" i="19"/>
  <c r="D18" i="19"/>
  <c r="D17" i="19"/>
  <c r="F58" i="8"/>
  <c r="F59" i="8" s="1"/>
  <c r="E58" i="8"/>
  <c r="E59" i="8" s="1"/>
  <c r="G58" i="8" l="1"/>
  <c r="G59" i="8" s="1"/>
  <c r="H58" i="8" l="1"/>
  <c r="H59" i="8" s="1"/>
  <c r="I58" i="8" l="1"/>
  <c r="I59" i="8" s="1"/>
  <c r="C88" i="1" l="1"/>
  <c r="D88" i="1"/>
  <c r="E88" i="1"/>
  <c r="F88" i="1"/>
  <c r="B88" i="1"/>
  <c r="I21" i="16" l="1"/>
  <c r="H48" i="11" l="1"/>
  <c r="K39" i="11"/>
  <c r="F21" i="8"/>
  <c r="F24" i="8" s="1"/>
  <c r="G21" i="8"/>
  <c r="G24" i="8" s="1"/>
  <c r="H21" i="8"/>
  <c r="H24" i="8" s="1"/>
  <c r="I21" i="8"/>
  <c r="I24" i="8" s="1"/>
  <c r="E21" i="8"/>
  <c r="E24" i="8" s="1"/>
  <c r="F48" i="11" l="1"/>
  <c r="G48" i="11"/>
  <c r="E4" i="16"/>
  <c r="E3" i="16"/>
  <c r="D34" i="12"/>
  <c r="E34" i="12"/>
  <c r="C34" i="12"/>
  <c r="F34" i="12" s="1"/>
  <c r="G34" i="12" s="1"/>
  <c r="H34" i="12" s="1"/>
  <c r="D32" i="12"/>
  <c r="D33" i="12" s="1"/>
  <c r="E32" i="12"/>
  <c r="E33" i="12" s="1"/>
  <c r="C32" i="12"/>
  <c r="C33" i="12" s="1"/>
  <c r="C13" i="11" l="1"/>
  <c r="E13" i="11"/>
  <c r="F13" i="11" s="1"/>
  <c r="G13" i="11" s="1"/>
  <c r="H13" i="11" s="1"/>
  <c r="I13" i="11" s="1"/>
  <c r="J13" i="11" s="1"/>
  <c r="J17" i="12" l="1"/>
  <c r="G22" i="12"/>
  <c r="H22" i="12" s="1"/>
  <c r="I22" i="12" s="1"/>
  <c r="F23" i="12"/>
  <c r="F22" i="12"/>
  <c r="J22" i="12" l="1"/>
  <c r="K22" i="12" s="1"/>
  <c r="H16" i="17"/>
  <c r="G16" i="17"/>
  <c r="F16" i="17"/>
  <c r="E16" i="17"/>
  <c r="D16" i="17"/>
  <c r="C16" i="17"/>
  <c r="B16" i="17"/>
  <c r="H15" i="17"/>
  <c r="G15" i="17"/>
  <c r="F15" i="17"/>
  <c r="E15" i="17"/>
  <c r="D15" i="17"/>
  <c r="C15" i="17"/>
  <c r="B15" i="17"/>
  <c r="H14" i="17"/>
  <c r="G14" i="17"/>
  <c r="F14" i="17"/>
  <c r="E14" i="17"/>
  <c r="D14" i="17"/>
  <c r="C14" i="17"/>
  <c r="B14" i="17"/>
  <c r="H12" i="17"/>
  <c r="G12" i="17"/>
  <c r="F12" i="17"/>
  <c r="E12" i="17"/>
  <c r="D12" i="17"/>
  <c r="C12" i="17"/>
  <c r="B12" i="17"/>
  <c r="H11" i="17"/>
  <c r="F17" i="1" s="1"/>
  <c r="G11" i="17"/>
  <c r="F11" i="17"/>
  <c r="E11" i="17"/>
  <c r="D11" i="17"/>
  <c r="B17" i="1" s="1"/>
  <c r="C11" i="17"/>
  <c r="B11" i="17"/>
  <c r="H10" i="17"/>
  <c r="G10" i="17"/>
  <c r="F10" i="17"/>
  <c r="E10" i="17"/>
  <c r="D10" i="17"/>
  <c r="C10" i="17"/>
  <c r="B10" i="17"/>
  <c r="H9" i="17"/>
  <c r="G9" i="17"/>
  <c r="F9" i="17"/>
  <c r="E9" i="17"/>
  <c r="D9" i="17"/>
  <c r="C9" i="17"/>
  <c r="B9" i="17"/>
  <c r="H8" i="17"/>
  <c r="G8" i="17"/>
  <c r="F8" i="17"/>
  <c r="E8" i="17"/>
  <c r="D8" i="17"/>
  <c r="C8" i="17"/>
  <c r="B8" i="17"/>
  <c r="H7" i="17"/>
  <c r="G7" i="17"/>
  <c r="F7" i="17"/>
  <c r="E7" i="17"/>
  <c r="D7" i="17"/>
  <c r="C7" i="17"/>
  <c r="B7" i="17"/>
  <c r="H5" i="17"/>
  <c r="G5" i="17"/>
  <c r="F5" i="17"/>
  <c r="E5" i="17"/>
  <c r="D5" i="17"/>
  <c r="C5" i="17"/>
  <c r="B5" i="17"/>
  <c r="H4" i="17"/>
  <c r="G4" i="17"/>
  <c r="F4" i="17"/>
  <c r="E4" i="17"/>
  <c r="D4" i="17"/>
  <c r="C4" i="17"/>
  <c r="B4" i="17"/>
  <c r="H3" i="17"/>
  <c r="G3" i="17"/>
  <c r="F3" i="17"/>
  <c r="E3" i="17"/>
  <c r="D3" i="17"/>
  <c r="C3" i="17"/>
  <c r="B3" i="17"/>
  <c r="H2" i="17"/>
  <c r="G2" i="17"/>
  <c r="F2" i="17"/>
  <c r="E2" i="17"/>
  <c r="D2" i="17"/>
  <c r="C2" i="17"/>
  <c r="B2" i="17"/>
  <c r="E17" i="1" l="1"/>
  <c r="D17" i="1"/>
  <c r="C17" i="1"/>
  <c r="D17" i="17"/>
  <c r="B15" i="1" s="1"/>
  <c r="H17" i="17"/>
  <c r="F15" i="1" s="1"/>
  <c r="C6" i="17"/>
  <c r="G6" i="17"/>
  <c r="E16" i="1" s="1"/>
  <c r="E35" i="1" s="1"/>
  <c r="C13" i="17"/>
  <c r="G13" i="17"/>
  <c r="E17" i="17"/>
  <c r="C15" i="1" s="1"/>
  <c r="C33" i="1" s="1"/>
  <c r="D6" i="17"/>
  <c r="F17" i="17"/>
  <c r="D15" i="1" s="1"/>
  <c r="E6" i="17"/>
  <c r="E3" i="19" s="1"/>
  <c r="E9" i="19" s="1"/>
  <c r="E13" i="17"/>
  <c r="C17" i="17"/>
  <c r="G17" i="17"/>
  <c r="E15" i="1" s="1"/>
  <c r="E33" i="1" s="1"/>
  <c r="H6" i="17"/>
  <c r="F16" i="1" s="1"/>
  <c r="B17" i="17"/>
  <c r="B6" i="17"/>
  <c r="F6" i="17"/>
  <c r="B13" i="17"/>
  <c r="F13" i="17"/>
  <c r="D13" i="17"/>
  <c r="H13" i="17"/>
  <c r="F26" i="1" l="1"/>
  <c r="F33" i="1"/>
  <c r="D16" i="1"/>
  <c r="D44" i="1" s="1"/>
  <c r="D45" i="1" s="1"/>
  <c r="F3" i="19"/>
  <c r="F9" i="19" s="1"/>
  <c r="D26" i="1"/>
  <c r="D33" i="1"/>
  <c r="B26" i="1"/>
  <c r="B33" i="1"/>
  <c r="B16" i="1"/>
  <c r="B35" i="1" s="1"/>
  <c r="D3" i="19"/>
  <c r="D9" i="19" s="1"/>
  <c r="B25" i="19"/>
  <c r="C3" i="19"/>
  <c r="C9" i="19" s="1"/>
  <c r="C26" i="1"/>
  <c r="C27" i="1"/>
  <c r="F68" i="1"/>
  <c r="F35" i="1"/>
  <c r="E44" i="1"/>
  <c r="E45" i="1" s="1"/>
  <c r="E26" i="1"/>
  <c r="D27" i="1"/>
  <c r="F27" i="1"/>
  <c r="F28" i="1" s="1"/>
  <c r="B36" i="1"/>
  <c r="B37" i="1" s="1"/>
  <c r="E36" i="1"/>
  <c r="E68" i="1"/>
  <c r="F44" i="1"/>
  <c r="C16" i="1"/>
  <c r="C35" i="1" s="1"/>
  <c r="E20" i="17"/>
  <c r="F76" i="1"/>
  <c r="E18" i="1"/>
  <c r="E76" i="1"/>
  <c r="D18" i="1"/>
  <c r="B18" i="1"/>
  <c r="F18" i="1"/>
  <c r="B18" i="17"/>
  <c r="B2" i="19" s="1"/>
  <c r="G18" i="17"/>
  <c r="H20" i="17"/>
  <c r="E18" i="17"/>
  <c r="E2" i="19" s="1"/>
  <c r="F20" i="17"/>
  <c r="C18" i="17"/>
  <c r="C2" i="19" s="1"/>
  <c r="G20" i="17"/>
  <c r="F18" i="17"/>
  <c r="F2" i="19" s="1"/>
  <c r="D18" i="17"/>
  <c r="D2" i="19" s="1"/>
  <c r="D20" i="17"/>
  <c r="H18" i="17"/>
  <c r="G47" i="11"/>
  <c r="F47" i="11"/>
  <c r="E47" i="11"/>
  <c r="F46" i="11"/>
  <c r="E46" i="11"/>
  <c r="D46" i="11"/>
  <c r="D45" i="11"/>
  <c r="E44" i="11"/>
  <c r="F44" i="11" s="1"/>
  <c r="C44" i="11"/>
  <c r="C45" i="11" s="1"/>
  <c r="C54" i="11" s="1"/>
  <c r="H32" i="11"/>
  <c r="G32" i="11"/>
  <c r="F32" i="11"/>
  <c r="G31" i="11"/>
  <c r="F31" i="11"/>
  <c r="E31" i="11"/>
  <c r="F30" i="11"/>
  <c r="E30" i="11"/>
  <c r="D30" i="11"/>
  <c r="D29" i="11"/>
  <c r="E28" i="11"/>
  <c r="F28" i="11" s="1"/>
  <c r="C28" i="11"/>
  <c r="C29" i="11" s="1"/>
  <c r="C38" i="11" s="1"/>
  <c r="H17" i="11"/>
  <c r="G17" i="11"/>
  <c r="F17" i="11"/>
  <c r="G16" i="11"/>
  <c r="F16" i="11"/>
  <c r="F15" i="11"/>
  <c r="E15" i="11"/>
  <c r="D15" i="11"/>
  <c r="D14" i="11"/>
  <c r="C14" i="11"/>
  <c r="C23" i="11" s="1"/>
  <c r="J25" i="5"/>
  <c r="I25" i="5"/>
  <c r="H25" i="5"/>
  <c r="G25" i="5"/>
  <c r="F25" i="5"/>
  <c r="E25" i="5"/>
  <c r="D25" i="5"/>
  <c r="C25" i="5"/>
  <c r="B25" i="5"/>
  <c r="J24" i="5"/>
  <c r="J23" i="5"/>
  <c r="I23" i="5"/>
  <c r="J22" i="5"/>
  <c r="I22" i="5"/>
  <c r="H22" i="5"/>
  <c r="J21" i="5"/>
  <c r="I21" i="5"/>
  <c r="H21" i="5"/>
  <c r="G21" i="5"/>
  <c r="I20" i="5"/>
  <c r="H20" i="5"/>
  <c r="G20" i="5"/>
  <c r="F20" i="5"/>
  <c r="H19" i="5"/>
  <c r="G19" i="5"/>
  <c r="F19" i="5"/>
  <c r="E19" i="5"/>
  <c r="G18" i="5"/>
  <c r="F18" i="5"/>
  <c r="E18" i="5"/>
  <c r="D18" i="5"/>
  <c r="F17" i="5"/>
  <c r="E17" i="5"/>
  <c r="D17" i="5"/>
  <c r="C17" i="5"/>
  <c r="E16" i="5"/>
  <c r="D16" i="5"/>
  <c r="C16" i="5"/>
  <c r="B16" i="5"/>
  <c r="J15" i="5"/>
  <c r="I15" i="5"/>
  <c r="H15" i="5"/>
  <c r="G15" i="5"/>
  <c r="F15" i="5"/>
  <c r="E15" i="5"/>
  <c r="D15" i="5"/>
  <c r="C15" i="5"/>
  <c r="B15" i="5"/>
  <c r="F53" i="8"/>
  <c r="E53" i="8"/>
  <c r="D53" i="8"/>
  <c r="G53" i="8" s="1"/>
  <c r="G47" i="8"/>
  <c r="G49" i="8" s="1"/>
  <c r="F47" i="8"/>
  <c r="F49" i="8" s="1"/>
  <c r="E47" i="8"/>
  <c r="E49" i="8" s="1"/>
  <c r="G46" i="8"/>
  <c r="F46" i="8"/>
  <c r="E46" i="8"/>
  <c r="G45" i="8"/>
  <c r="F45" i="8"/>
  <c r="E45" i="8"/>
  <c r="G44" i="8"/>
  <c r="F44" i="8"/>
  <c r="E44" i="8"/>
  <c r="G43" i="8"/>
  <c r="F43" i="8"/>
  <c r="F51" i="8" s="1"/>
  <c r="E43" i="8"/>
  <c r="E51" i="8" s="1"/>
  <c r="G35" i="8"/>
  <c r="G37" i="8" s="1"/>
  <c r="F35" i="8"/>
  <c r="F37" i="8" s="1"/>
  <c r="E35" i="8"/>
  <c r="E37" i="8" s="1"/>
  <c r="G34" i="8"/>
  <c r="F34" i="8"/>
  <c r="E34" i="8"/>
  <c r="G33" i="8"/>
  <c r="F33" i="8"/>
  <c r="E33" i="8"/>
  <c r="G32" i="8"/>
  <c r="F32" i="8"/>
  <c r="E32" i="8"/>
  <c r="G31" i="8"/>
  <c r="F31" i="8"/>
  <c r="E31" i="8"/>
  <c r="G30" i="8"/>
  <c r="G36" i="8" s="1"/>
  <c r="G38" i="8" s="1"/>
  <c r="F30" i="8"/>
  <c r="F36" i="8" s="1"/>
  <c r="E30" i="8"/>
  <c r="E36" i="8" s="1"/>
  <c r="I5" i="8"/>
  <c r="H5" i="8"/>
  <c r="G5" i="8"/>
  <c r="F5" i="8"/>
  <c r="E5" i="8"/>
  <c r="F90" i="1"/>
  <c r="E90" i="1"/>
  <c r="D90" i="1"/>
  <c r="C90" i="1"/>
  <c r="B90" i="1"/>
  <c r="F89" i="1"/>
  <c r="E89" i="1"/>
  <c r="D89" i="1"/>
  <c r="C89" i="1"/>
  <c r="B89" i="1"/>
  <c r="F84" i="1"/>
  <c r="F115" i="1" s="1"/>
  <c r="E84" i="1"/>
  <c r="E115" i="1" s="1"/>
  <c r="D84" i="1"/>
  <c r="D115" i="1" s="1"/>
  <c r="C84" i="1"/>
  <c r="C115" i="1" s="1"/>
  <c r="B84" i="1"/>
  <c r="B115" i="1" s="1"/>
  <c r="F75" i="1"/>
  <c r="E75" i="1"/>
  <c r="D75" i="1"/>
  <c r="F67" i="1"/>
  <c r="E67" i="1"/>
  <c r="D67" i="1"/>
  <c r="F58" i="1"/>
  <c r="E58" i="1"/>
  <c r="D58" i="1"/>
  <c r="B58" i="1"/>
  <c r="B75" i="1" s="1"/>
  <c r="B76" i="1" s="1"/>
  <c r="F57" i="1"/>
  <c r="E57" i="1"/>
  <c r="D57" i="1"/>
  <c r="B57" i="1"/>
  <c r="B67" i="1" s="1"/>
  <c r="B68" i="1" s="1"/>
  <c r="F56" i="1"/>
  <c r="E56" i="1"/>
  <c r="D56" i="1"/>
  <c r="C56" i="1"/>
  <c r="C58" i="1" s="1"/>
  <c r="C75" i="1" s="1"/>
  <c r="B56" i="1"/>
  <c r="H195" i="2"/>
  <c r="G13" i="12" s="1"/>
  <c r="G195" i="2"/>
  <c r="F13" i="12" s="1"/>
  <c r="F195" i="2"/>
  <c r="E195" i="2"/>
  <c r="D13" i="12" s="1"/>
  <c r="D195" i="2"/>
  <c r="C195" i="2"/>
  <c r="B195" i="2"/>
  <c r="H194" i="2"/>
  <c r="G194" i="2"/>
  <c r="F194" i="2"/>
  <c r="E194" i="2"/>
  <c r="D194" i="2"/>
  <c r="C194" i="2"/>
  <c r="B194" i="2"/>
  <c r="H193" i="2"/>
  <c r="G193" i="2"/>
  <c r="F193" i="2"/>
  <c r="E193" i="2"/>
  <c r="D11" i="12" s="1"/>
  <c r="C11" i="16" s="1"/>
  <c r="D193" i="2"/>
  <c r="C193" i="2"/>
  <c r="B193" i="2"/>
  <c r="H192" i="2"/>
  <c r="F95" i="1" s="1"/>
  <c r="G192" i="2"/>
  <c r="F192" i="2"/>
  <c r="E192" i="2"/>
  <c r="D10" i="12" s="1"/>
  <c r="C10" i="16" s="1"/>
  <c r="D192" i="2"/>
  <c r="B95" i="1" s="1"/>
  <c r="C192" i="2"/>
  <c r="B192" i="2"/>
  <c r="H191" i="2"/>
  <c r="G191" i="2"/>
  <c r="F9" i="12" s="1"/>
  <c r="F191" i="2"/>
  <c r="E191" i="2"/>
  <c r="D191" i="2"/>
  <c r="C191" i="2"/>
  <c r="B191" i="2"/>
  <c r="H190" i="2"/>
  <c r="G190" i="2"/>
  <c r="F190" i="2"/>
  <c r="E190" i="2"/>
  <c r="D190" i="2"/>
  <c r="C190" i="2"/>
  <c r="B190" i="2"/>
  <c r="E187" i="2"/>
  <c r="F187" i="2" s="1"/>
  <c r="G187" i="2" s="1"/>
  <c r="H187" i="2" s="1"/>
  <c r="H183" i="2"/>
  <c r="G183" i="2"/>
  <c r="F183" i="2"/>
  <c r="E183" i="2"/>
  <c r="D183" i="2"/>
  <c r="C183" i="2"/>
  <c r="B183" i="2"/>
  <c r="H182" i="2"/>
  <c r="G182" i="2"/>
  <c r="F182" i="2"/>
  <c r="E182" i="2"/>
  <c r="C182" i="2"/>
  <c r="B182" i="2"/>
  <c r="H181" i="2"/>
  <c r="G181" i="2"/>
  <c r="F181" i="2"/>
  <c r="E181" i="2"/>
  <c r="C181" i="2"/>
  <c r="B181" i="2"/>
  <c r="G180" i="2"/>
  <c r="E180" i="2"/>
  <c r="C180" i="2"/>
  <c r="G179" i="2"/>
  <c r="E179" i="2"/>
  <c r="C179" i="2"/>
  <c r="G178" i="2"/>
  <c r="E178" i="2"/>
  <c r="C178" i="2"/>
  <c r="G177" i="2"/>
  <c r="E177" i="2"/>
  <c r="C177" i="2"/>
  <c r="H173" i="2"/>
  <c r="G173" i="2"/>
  <c r="F173" i="2"/>
  <c r="E173" i="2"/>
  <c r="C173" i="2"/>
  <c r="B173" i="2"/>
  <c r="H172" i="2"/>
  <c r="G172" i="2"/>
  <c r="F172" i="2"/>
  <c r="E172" i="2"/>
  <c r="C172" i="2"/>
  <c r="B172" i="2"/>
  <c r="K171" i="2"/>
  <c r="G171" i="2"/>
  <c r="E171" i="2"/>
  <c r="C171" i="2"/>
  <c r="K170" i="2"/>
  <c r="G170" i="2"/>
  <c r="E170" i="2"/>
  <c r="C170" i="2"/>
  <c r="K169" i="2"/>
  <c r="G169" i="2"/>
  <c r="E169" i="2"/>
  <c r="C169" i="2"/>
  <c r="K168" i="2"/>
  <c r="G168" i="2"/>
  <c r="E168" i="2"/>
  <c r="C168" i="2"/>
  <c r="H164" i="2"/>
  <c r="G164" i="2"/>
  <c r="F164" i="2"/>
  <c r="E164" i="2"/>
  <c r="D164" i="2"/>
  <c r="C164" i="2"/>
  <c r="B164" i="2"/>
  <c r="H163" i="2"/>
  <c r="G163" i="2"/>
  <c r="F163" i="2"/>
  <c r="E163" i="2"/>
  <c r="C163" i="2"/>
  <c r="B163" i="2"/>
  <c r="H162" i="2"/>
  <c r="G162" i="2"/>
  <c r="F162" i="2"/>
  <c r="E162" i="2"/>
  <c r="C162" i="2"/>
  <c r="B162" i="2"/>
  <c r="G161" i="2"/>
  <c r="E161" i="2"/>
  <c r="C161" i="2"/>
  <c r="G160" i="2"/>
  <c r="E160" i="2"/>
  <c r="C160" i="2"/>
  <c r="G159" i="2"/>
  <c r="E159" i="2"/>
  <c r="C159" i="2"/>
  <c r="G158" i="2"/>
  <c r="E158" i="2"/>
  <c r="C158" i="2"/>
  <c r="G154" i="2"/>
  <c r="D154" i="2"/>
  <c r="D153" i="2"/>
  <c r="D163" i="2" s="1"/>
  <c r="D173" i="2" s="1"/>
  <c r="D152" i="2"/>
  <c r="D162" i="2" s="1"/>
  <c r="H151" i="2"/>
  <c r="H161" i="2" s="1"/>
  <c r="F151" i="2"/>
  <c r="F161" i="2" s="1"/>
  <c r="E11" i="12" s="1"/>
  <c r="D11" i="16" s="1"/>
  <c r="D151" i="2"/>
  <c r="D161" i="2" s="1"/>
  <c r="B151" i="2"/>
  <c r="B161" i="2" s="1"/>
  <c r="H150" i="2"/>
  <c r="H160" i="2" s="1"/>
  <c r="F150" i="2"/>
  <c r="F160" i="2" s="1"/>
  <c r="F179" i="2" s="1"/>
  <c r="D150" i="2"/>
  <c r="D160" i="2" s="1"/>
  <c r="B150" i="2"/>
  <c r="B160" i="2" s="1"/>
  <c r="H149" i="2"/>
  <c r="H159" i="2" s="1"/>
  <c r="F149" i="2"/>
  <c r="F159" i="2" s="1"/>
  <c r="D149" i="2"/>
  <c r="D159" i="2" s="1"/>
  <c r="B149" i="2"/>
  <c r="B159" i="2" s="1"/>
  <c r="H148" i="2"/>
  <c r="H158" i="2" s="1"/>
  <c r="F148" i="2"/>
  <c r="F158" i="2" s="1"/>
  <c r="D148" i="2"/>
  <c r="D158" i="2" s="1"/>
  <c r="B148" i="2"/>
  <c r="B158" i="2" s="1"/>
  <c r="H144" i="2"/>
  <c r="G144" i="2"/>
  <c r="F144" i="2"/>
  <c r="E144" i="2"/>
  <c r="D144" i="2"/>
  <c r="C144" i="2"/>
  <c r="B144" i="2"/>
  <c r="H143" i="2"/>
  <c r="G143" i="2"/>
  <c r="F143" i="2"/>
  <c r="E143" i="2"/>
  <c r="D143" i="2"/>
  <c r="C143" i="2"/>
  <c r="B143" i="2"/>
  <c r="H142" i="2"/>
  <c r="G142" i="2"/>
  <c r="F142" i="2"/>
  <c r="E142" i="2"/>
  <c r="D142" i="2"/>
  <c r="C142" i="2"/>
  <c r="B142" i="2"/>
  <c r="H141" i="2"/>
  <c r="G141" i="2"/>
  <c r="F141" i="2"/>
  <c r="E141" i="2"/>
  <c r="D141" i="2"/>
  <c r="C141" i="2"/>
  <c r="B141" i="2"/>
  <c r="H140" i="2"/>
  <c r="G140" i="2"/>
  <c r="F140" i="2"/>
  <c r="E140" i="2"/>
  <c r="D140" i="2"/>
  <c r="C140" i="2"/>
  <c r="B140" i="2"/>
  <c r="H139" i="2"/>
  <c r="G139" i="2"/>
  <c r="F139" i="2"/>
  <c r="E139" i="2"/>
  <c r="D139" i="2"/>
  <c r="C139" i="2"/>
  <c r="B139" i="2"/>
  <c r="H138" i="2"/>
  <c r="G138" i="2"/>
  <c r="F138" i="2"/>
  <c r="E138" i="2"/>
  <c r="D138" i="2"/>
  <c r="C138" i="2"/>
  <c r="B138" i="2"/>
  <c r="H133" i="2"/>
  <c r="G133" i="2"/>
  <c r="F133" i="2"/>
  <c r="E133" i="2"/>
  <c r="D133" i="2"/>
  <c r="C133" i="2"/>
  <c r="B133" i="2"/>
  <c r="H132" i="2"/>
  <c r="G132" i="2"/>
  <c r="F132" i="2"/>
  <c r="E132" i="2"/>
  <c r="D132" i="2"/>
  <c r="C132" i="2"/>
  <c r="B132" i="2"/>
  <c r="H131" i="2"/>
  <c r="G131" i="2"/>
  <c r="F131" i="2"/>
  <c r="E131" i="2"/>
  <c r="D131" i="2"/>
  <c r="C131" i="2"/>
  <c r="B131" i="2"/>
  <c r="H130" i="2"/>
  <c r="G130" i="2"/>
  <c r="F130" i="2"/>
  <c r="E130" i="2"/>
  <c r="D130" i="2"/>
  <c r="C130" i="2"/>
  <c r="B130" i="2"/>
  <c r="H129" i="2"/>
  <c r="G129" i="2"/>
  <c r="F129" i="2"/>
  <c r="E129" i="2"/>
  <c r="D129" i="2"/>
  <c r="C129" i="2"/>
  <c r="B129" i="2"/>
  <c r="H126" i="2"/>
  <c r="G126" i="2"/>
  <c r="F126" i="2"/>
  <c r="E126" i="2"/>
  <c r="D126" i="2"/>
  <c r="C126" i="2"/>
  <c r="B126" i="2"/>
  <c r="H125" i="2"/>
  <c r="G125" i="2"/>
  <c r="F125" i="2"/>
  <c r="E125" i="2"/>
  <c r="D125" i="2"/>
  <c r="C125" i="2"/>
  <c r="B125" i="2"/>
  <c r="H124" i="2"/>
  <c r="G124" i="2"/>
  <c r="F124" i="2"/>
  <c r="E124" i="2"/>
  <c r="D124" i="2"/>
  <c r="C124" i="2"/>
  <c r="B124" i="2"/>
  <c r="H123" i="2"/>
  <c r="G123" i="2"/>
  <c r="F123" i="2"/>
  <c r="E123" i="2"/>
  <c r="D123" i="2"/>
  <c r="C123" i="2"/>
  <c r="B123" i="2"/>
  <c r="H122" i="2"/>
  <c r="G122" i="2"/>
  <c r="F122" i="2"/>
  <c r="E122" i="2"/>
  <c r="D122" i="2"/>
  <c r="C122" i="2"/>
  <c r="B122" i="2"/>
  <c r="H117" i="2"/>
  <c r="G117" i="2"/>
  <c r="F117" i="2"/>
  <c r="E117" i="2"/>
  <c r="D117" i="2"/>
  <c r="C117" i="2"/>
  <c r="B117" i="2"/>
  <c r="H116" i="2"/>
  <c r="G116" i="2"/>
  <c r="F116" i="2"/>
  <c r="E116" i="2"/>
  <c r="D116" i="2"/>
  <c r="C116" i="2"/>
  <c r="B116" i="2"/>
  <c r="H115" i="2"/>
  <c r="G115" i="2"/>
  <c r="F115" i="2"/>
  <c r="E115" i="2"/>
  <c r="D115" i="2"/>
  <c r="C115" i="2"/>
  <c r="B115" i="2"/>
  <c r="H114" i="2"/>
  <c r="G114" i="2"/>
  <c r="F114" i="2"/>
  <c r="E114" i="2"/>
  <c r="D114" i="2"/>
  <c r="C114" i="2"/>
  <c r="B114" i="2"/>
  <c r="H113" i="2"/>
  <c r="G113" i="2"/>
  <c r="F113" i="2"/>
  <c r="E113" i="2"/>
  <c r="D113" i="2"/>
  <c r="C113" i="2"/>
  <c r="B113" i="2"/>
  <c r="H108" i="2"/>
  <c r="G108" i="2"/>
  <c r="F108" i="2"/>
  <c r="E108" i="2"/>
  <c r="D108" i="2"/>
  <c r="C108" i="2"/>
  <c r="B108" i="2"/>
  <c r="H107" i="2"/>
  <c r="G107" i="2"/>
  <c r="F107" i="2"/>
  <c r="E107" i="2"/>
  <c r="D107" i="2"/>
  <c r="C107" i="2"/>
  <c r="B107" i="2"/>
  <c r="H106" i="2"/>
  <c r="G106" i="2"/>
  <c r="F106" i="2"/>
  <c r="E106" i="2"/>
  <c r="D106" i="2"/>
  <c r="C106" i="2"/>
  <c r="B106" i="2"/>
  <c r="H105" i="2"/>
  <c r="G105" i="2"/>
  <c r="F105" i="2"/>
  <c r="E105" i="2"/>
  <c r="D105" i="2"/>
  <c r="C105" i="2"/>
  <c r="B105" i="2"/>
  <c r="H104" i="2"/>
  <c r="G104" i="2"/>
  <c r="F104" i="2"/>
  <c r="E104" i="2"/>
  <c r="D104" i="2"/>
  <c r="C104" i="2"/>
  <c r="B104" i="2"/>
  <c r="H103" i="2"/>
  <c r="G103" i="2"/>
  <c r="F103" i="2"/>
  <c r="E103" i="2"/>
  <c r="D103" i="2"/>
  <c r="C103" i="2"/>
  <c r="B103" i="2"/>
  <c r="H99" i="2"/>
  <c r="G99" i="2"/>
  <c r="F99" i="2"/>
  <c r="E99" i="2"/>
  <c r="D99" i="2"/>
  <c r="C99" i="2"/>
  <c r="B99" i="2"/>
  <c r="H98" i="2"/>
  <c r="G98" i="2"/>
  <c r="F98" i="2"/>
  <c r="E98" i="2"/>
  <c r="D98" i="2"/>
  <c r="C98" i="2"/>
  <c r="B98" i="2"/>
  <c r="H97" i="2"/>
  <c r="G97" i="2"/>
  <c r="F97" i="2"/>
  <c r="E97" i="2"/>
  <c r="D97" i="2"/>
  <c r="C97" i="2"/>
  <c r="B97" i="2"/>
  <c r="H96" i="2"/>
  <c r="G96" i="2"/>
  <c r="F96" i="2"/>
  <c r="E96" i="2"/>
  <c r="D96" i="2"/>
  <c r="C96" i="2"/>
  <c r="B96" i="2"/>
  <c r="H89" i="2"/>
  <c r="G89" i="2"/>
  <c r="F89" i="2"/>
  <c r="E89" i="2"/>
  <c r="D89" i="2"/>
  <c r="C89" i="2"/>
  <c r="B89" i="2"/>
  <c r="B79" i="2"/>
  <c r="B77" i="2"/>
  <c r="B76" i="2"/>
  <c r="B75" i="2"/>
  <c r="B74" i="2"/>
  <c r="B73" i="2"/>
  <c r="H59" i="2"/>
  <c r="G59" i="2"/>
  <c r="F59" i="2"/>
  <c r="E59" i="2"/>
  <c r="D59" i="2"/>
  <c r="C59" i="2"/>
  <c r="B59" i="2"/>
  <c r="H58" i="2"/>
  <c r="G58" i="2"/>
  <c r="F58" i="2"/>
  <c r="E58" i="2"/>
  <c r="D58" i="2"/>
  <c r="C58" i="2"/>
  <c r="B58" i="2"/>
  <c r="H57" i="2"/>
  <c r="G57" i="2"/>
  <c r="F57" i="2"/>
  <c r="E57" i="2"/>
  <c r="D57" i="2"/>
  <c r="C57" i="2"/>
  <c r="B57" i="2"/>
  <c r="H56" i="2"/>
  <c r="G56" i="2"/>
  <c r="F56" i="2"/>
  <c r="E56" i="2"/>
  <c r="D56" i="2"/>
  <c r="C56" i="2"/>
  <c r="B56" i="2"/>
  <c r="H52" i="2"/>
  <c r="G52" i="2"/>
  <c r="F52" i="2"/>
  <c r="E52" i="2"/>
  <c r="D52" i="2"/>
  <c r="C52" i="2"/>
  <c r="B52" i="2"/>
  <c r="H51" i="2"/>
  <c r="G51" i="2"/>
  <c r="F51" i="2"/>
  <c r="E51" i="2"/>
  <c r="D51" i="2"/>
  <c r="C51" i="2"/>
  <c r="B51" i="2"/>
  <c r="H50" i="2"/>
  <c r="G50" i="2"/>
  <c r="F50" i="2"/>
  <c r="E50" i="2"/>
  <c r="D50" i="2"/>
  <c r="C50" i="2"/>
  <c r="B50" i="2"/>
  <c r="H49" i="2"/>
  <c r="G49" i="2"/>
  <c r="F49" i="2"/>
  <c r="E49" i="2"/>
  <c r="D49" i="2"/>
  <c r="C49" i="2"/>
  <c r="B49" i="2"/>
  <c r="H48" i="2"/>
  <c r="G48" i="2"/>
  <c r="F48" i="2"/>
  <c r="E48" i="2"/>
  <c r="D48" i="2"/>
  <c r="C48" i="2"/>
  <c r="B48" i="2"/>
  <c r="H44" i="2"/>
  <c r="G44" i="2"/>
  <c r="F44" i="2"/>
  <c r="E44" i="2"/>
  <c r="D44" i="2"/>
  <c r="C44" i="2"/>
  <c r="B44" i="2"/>
  <c r="H43" i="2"/>
  <c r="G43" i="2"/>
  <c r="F43" i="2"/>
  <c r="E43" i="2"/>
  <c r="D43" i="2"/>
  <c r="C43" i="2"/>
  <c r="B43" i="2"/>
  <c r="H42" i="2"/>
  <c r="G42" i="2"/>
  <c r="F42" i="2"/>
  <c r="E42" i="2"/>
  <c r="D42" i="2"/>
  <c r="C42" i="2"/>
  <c r="B42" i="2"/>
  <c r="H41" i="2"/>
  <c r="G41" i="2"/>
  <c r="F41" i="2"/>
  <c r="E41" i="2"/>
  <c r="D41" i="2"/>
  <c r="C41" i="2"/>
  <c r="B41" i="2"/>
  <c r="H40" i="2"/>
  <c r="G40" i="2"/>
  <c r="F40" i="2"/>
  <c r="E40" i="2"/>
  <c r="D40" i="2"/>
  <c r="C40" i="2"/>
  <c r="B40" i="2"/>
  <c r="H36" i="2"/>
  <c r="G36" i="2"/>
  <c r="F36" i="2"/>
  <c r="E36" i="2"/>
  <c r="D36" i="2"/>
  <c r="C36" i="2"/>
  <c r="B36" i="2"/>
  <c r="H35" i="2"/>
  <c r="G35" i="2"/>
  <c r="F35" i="2"/>
  <c r="E35" i="2"/>
  <c r="D35" i="2"/>
  <c r="C35" i="2"/>
  <c r="B35" i="2"/>
  <c r="H34" i="2"/>
  <c r="G34" i="2"/>
  <c r="F34" i="2"/>
  <c r="E34" i="2"/>
  <c r="D34" i="2"/>
  <c r="C34" i="2"/>
  <c r="B34" i="2"/>
  <c r="H33" i="2"/>
  <c r="G33" i="2"/>
  <c r="F33" i="2"/>
  <c r="E33" i="2"/>
  <c r="D33" i="2"/>
  <c r="C33" i="2"/>
  <c r="B33" i="2"/>
  <c r="F21" i="2"/>
  <c r="E21" i="2"/>
  <c r="D21" i="2"/>
  <c r="F20" i="2"/>
  <c r="E20" i="2"/>
  <c r="D20" i="2"/>
  <c r="F19" i="2"/>
  <c r="E19" i="2"/>
  <c r="D19" i="2"/>
  <c r="F18" i="2"/>
  <c r="E18" i="2"/>
  <c r="D18" i="2"/>
  <c r="H17" i="2"/>
  <c r="G17" i="2"/>
  <c r="F17" i="2"/>
  <c r="E17" i="2"/>
  <c r="D17" i="2"/>
  <c r="C17" i="2"/>
  <c r="B17" i="2"/>
  <c r="H16" i="2"/>
  <c r="G16" i="2"/>
  <c r="F16" i="2"/>
  <c r="E16" i="2"/>
  <c r="D16" i="2"/>
  <c r="C16" i="2"/>
  <c r="B16" i="2"/>
  <c r="H13" i="2"/>
  <c r="G13" i="2"/>
  <c r="F13" i="2"/>
  <c r="E13" i="2"/>
  <c r="D13" i="2"/>
  <c r="C13" i="2"/>
  <c r="B13" i="2"/>
  <c r="H12" i="2"/>
  <c r="G12" i="2"/>
  <c r="F12" i="2"/>
  <c r="E12" i="2"/>
  <c r="D12" i="2"/>
  <c r="C12" i="2"/>
  <c r="B12" i="2"/>
  <c r="H11" i="2"/>
  <c r="G11" i="2"/>
  <c r="F11" i="2"/>
  <c r="E11" i="2"/>
  <c r="D11" i="2"/>
  <c r="C11" i="2"/>
  <c r="B11" i="2"/>
  <c r="M6" i="15"/>
  <c r="L6" i="15"/>
  <c r="K6" i="15"/>
  <c r="J6" i="15"/>
  <c r="I6" i="15"/>
  <c r="H6" i="15"/>
  <c r="G6" i="15"/>
  <c r="F6" i="15"/>
  <c r="E6" i="15"/>
  <c r="D6" i="15"/>
  <c r="C6" i="15"/>
  <c r="T63" i="3"/>
  <c r="S63" i="3"/>
  <c r="R63" i="3"/>
  <c r="Q63" i="3"/>
  <c r="P63" i="3"/>
  <c r="O63" i="3"/>
  <c r="Y62" i="3"/>
  <c r="X62" i="3"/>
  <c r="W62" i="3"/>
  <c r="V62" i="3"/>
  <c r="U62" i="3"/>
  <c r="T62" i="3"/>
  <c r="S62" i="3"/>
  <c r="R62" i="3"/>
  <c r="Q62" i="3"/>
  <c r="P62" i="3"/>
  <c r="O62" i="3"/>
  <c r="T61" i="3"/>
  <c r="S61" i="3"/>
  <c r="R61" i="3"/>
  <c r="Q61" i="3"/>
  <c r="P61" i="3"/>
  <c r="Y57" i="3"/>
  <c r="X57" i="3"/>
  <c r="W57" i="3"/>
  <c r="V57" i="3"/>
  <c r="U57" i="3"/>
  <c r="T57" i="3"/>
  <c r="S57" i="3"/>
  <c r="R57" i="3"/>
  <c r="Q57" i="3"/>
  <c r="P57" i="3"/>
  <c r="O57" i="3"/>
  <c r="T55" i="3"/>
  <c r="S55" i="3"/>
  <c r="R55" i="3"/>
  <c r="Q55" i="3"/>
  <c r="P55" i="3"/>
  <c r="O55" i="3"/>
  <c r="N55" i="3"/>
  <c r="M55" i="3"/>
  <c r="L55" i="3"/>
  <c r="K55" i="3"/>
  <c r="J55" i="3"/>
  <c r="I55" i="3"/>
  <c r="H55" i="3"/>
  <c r="G55" i="3"/>
  <c r="F55" i="3"/>
  <c r="E55" i="3"/>
  <c r="D55" i="3"/>
  <c r="C55" i="3"/>
  <c r="Y26" i="3"/>
  <c r="X26" i="3"/>
  <c r="W26" i="3"/>
  <c r="V26" i="3"/>
  <c r="U26" i="3"/>
  <c r="T26" i="3"/>
  <c r="S26" i="3"/>
  <c r="R26" i="3"/>
  <c r="Q26" i="3"/>
  <c r="P26" i="3"/>
  <c r="O26" i="3"/>
  <c r="X25" i="3"/>
  <c r="W25" i="3"/>
  <c r="V25" i="3"/>
  <c r="U25" i="3"/>
  <c r="T25" i="3"/>
  <c r="S25" i="3"/>
  <c r="R25" i="3"/>
  <c r="Q25" i="3"/>
  <c r="P25" i="3"/>
  <c r="R22" i="3"/>
  <c r="Q22" i="3"/>
  <c r="P22" i="3"/>
  <c r="O21" i="3"/>
  <c r="N21" i="3"/>
  <c r="M21" i="3"/>
  <c r="L20" i="3"/>
  <c r="K20" i="3"/>
  <c r="J19" i="3"/>
  <c r="I19" i="3"/>
  <c r="H19" i="3"/>
  <c r="G19" i="3"/>
  <c r="Y12" i="3"/>
  <c r="X12" i="3"/>
  <c r="W12" i="3"/>
  <c r="V12" i="3"/>
  <c r="U12" i="3"/>
  <c r="T12" i="3"/>
  <c r="S12" i="3"/>
  <c r="R12" i="3"/>
  <c r="Q12" i="3"/>
  <c r="P12" i="3"/>
  <c r="O12" i="3"/>
  <c r="N12" i="3"/>
  <c r="O11" i="3"/>
  <c r="N11" i="3"/>
  <c r="M11" i="3"/>
  <c r="L11" i="3"/>
  <c r="K11" i="3"/>
  <c r="J11" i="3"/>
  <c r="I11" i="3"/>
  <c r="H11" i="3"/>
  <c r="G11" i="3"/>
  <c r="L10" i="3"/>
  <c r="K10" i="3"/>
  <c r="J10" i="3"/>
  <c r="I10" i="3"/>
  <c r="H10" i="3"/>
  <c r="G10" i="3"/>
  <c r="J9" i="3"/>
  <c r="I9" i="3"/>
  <c r="H9" i="3"/>
  <c r="G9" i="3"/>
  <c r="F9" i="3"/>
  <c r="Y8" i="3"/>
  <c r="X8" i="3"/>
  <c r="W8" i="3"/>
  <c r="V8" i="3"/>
  <c r="U8" i="3"/>
  <c r="T8" i="3"/>
  <c r="S8" i="3"/>
  <c r="J7" i="3"/>
  <c r="I7" i="3"/>
  <c r="H7" i="3"/>
  <c r="F7" i="3"/>
  <c r="E7" i="3"/>
  <c r="D7" i="3"/>
  <c r="C7" i="3"/>
  <c r="Y4" i="3"/>
  <c r="X4" i="3"/>
  <c r="W4" i="3"/>
  <c r="V4" i="3"/>
  <c r="U4" i="3"/>
  <c r="T4" i="3"/>
  <c r="S4" i="3"/>
  <c r="R4" i="3"/>
  <c r="Q4" i="3"/>
  <c r="P4" i="3"/>
  <c r="O4" i="3"/>
  <c r="N4" i="3"/>
  <c r="M4" i="3"/>
  <c r="F18" i="12"/>
  <c r="E18" i="12"/>
  <c r="D18" i="12"/>
  <c r="G14" i="12"/>
  <c r="F14" i="12"/>
  <c r="E14" i="12"/>
  <c r="D16" i="16" s="1"/>
  <c r="D14" i="12"/>
  <c r="C16" i="16" s="1"/>
  <c r="C14" i="12"/>
  <c r="E13" i="12"/>
  <c r="G12" i="12"/>
  <c r="F12" i="12"/>
  <c r="E12" i="12"/>
  <c r="D12" i="12"/>
  <c r="F11" i="12"/>
  <c r="F10" i="12"/>
  <c r="D9" i="12"/>
  <c r="C9" i="16" s="1"/>
  <c r="F8" i="12"/>
  <c r="D8" i="12"/>
  <c r="Q28" i="16"/>
  <c r="P28" i="16"/>
  <c r="O28" i="16"/>
  <c r="Q24" i="16"/>
  <c r="P24" i="16"/>
  <c r="O24" i="16"/>
  <c r="I20" i="16"/>
  <c r="I19" i="16"/>
  <c r="I18" i="16"/>
  <c r="E17" i="16"/>
  <c r="B17" i="16"/>
  <c r="F17" i="16" s="1"/>
  <c r="F16" i="16"/>
  <c r="B16" i="16"/>
  <c r="E15" i="16"/>
  <c r="E14" i="16"/>
  <c r="E13" i="16"/>
  <c r="E12" i="16"/>
  <c r="C12" i="16"/>
  <c r="G12" i="16" s="1"/>
  <c r="C8" i="16"/>
  <c r="G8" i="16" s="1"/>
  <c r="E7" i="16"/>
  <c r="E5" i="16"/>
  <c r="C15" i="16" l="1"/>
  <c r="G15" i="16" s="1"/>
  <c r="G11" i="16"/>
  <c r="C14" i="16"/>
  <c r="G14" i="16" s="1"/>
  <c r="G10" i="16"/>
  <c r="C17" i="16"/>
  <c r="G17" i="16" s="1"/>
  <c r="G16" i="16"/>
  <c r="I16" i="16" s="1"/>
  <c r="D17" i="16"/>
  <c r="H17" i="16" s="1"/>
  <c r="I17" i="16" s="1"/>
  <c r="H16" i="16"/>
  <c r="C13" i="16"/>
  <c r="G13" i="16" s="1"/>
  <c r="G9" i="16"/>
  <c r="C95" i="1"/>
  <c r="D95" i="1"/>
  <c r="C9" i="12"/>
  <c r="B9" i="16" s="1"/>
  <c r="E95" i="1"/>
  <c r="B44" i="1"/>
  <c r="B46" i="1" s="1"/>
  <c r="B102" i="1" s="1"/>
  <c r="D35" i="1"/>
  <c r="C18" i="12"/>
  <c r="G18" i="12"/>
  <c r="H169" i="2"/>
  <c r="G9" i="12"/>
  <c r="B169" i="2"/>
  <c r="B178" i="2"/>
  <c r="B170" i="2"/>
  <c r="B179" i="2"/>
  <c r="B180" i="2"/>
  <c r="B171" i="2"/>
  <c r="B177" i="2"/>
  <c r="B168" i="2"/>
  <c r="G51" i="8"/>
  <c r="E38" i="8"/>
  <c r="F38" i="8"/>
  <c r="E42" i="8"/>
  <c r="E48" i="8" s="1"/>
  <c r="E50" i="8" s="1"/>
  <c r="E52" i="8" s="1"/>
  <c r="F42" i="8"/>
  <c r="F48" i="8" s="1"/>
  <c r="F50" i="8" s="1"/>
  <c r="F52" i="8" s="1"/>
  <c r="G42" i="8"/>
  <c r="G48" i="8" s="1"/>
  <c r="G50" i="8" s="1"/>
  <c r="G52" i="8" s="1"/>
  <c r="D54" i="11"/>
  <c r="D76" i="1"/>
  <c r="E7" i="12" s="1"/>
  <c r="D68" i="1"/>
  <c r="E46" i="1"/>
  <c r="B7" i="19"/>
  <c r="B5" i="19"/>
  <c r="C7" i="19"/>
  <c r="C5" i="19"/>
  <c r="D7" i="19"/>
  <c r="D5" i="19"/>
  <c r="F7" i="19"/>
  <c r="F5" i="19"/>
  <c r="E5" i="19"/>
  <c r="E7" i="19"/>
  <c r="C36" i="1"/>
  <c r="D46" i="1"/>
  <c r="D31" i="1"/>
  <c r="C31" i="1"/>
  <c r="E51" i="1"/>
  <c r="E40" i="1"/>
  <c r="B40" i="1"/>
  <c r="B38" i="1"/>
  <c r="B39" i="1" s="1"/>
  <c r="D28" i="1"/>
  <c r="D29" i="1" s="1"/>
  <c r="D36" i="1"/>
  <c r="D51" i="1"/>
  <c r="E37" i="1"/>
  <c r="E38" i="1" s="1"/>
  <c r="E39" i="1" s="1"/>
  <c r="F31" i="1"/>
  <c r="F29" i="1"/>
  <c r="B27" i="1"/>
  <c r="B28" i="1" s="1"/>
  <c r="E27" i="1"/>
  <c r="E28" i="1" s="1"/>
  <c r="F36" i="1"/>
  <c r="C28" i="1"/>
  <c r="C29" i="1" s="1"/>
  <c r="C57" i="1"/>
  <c r="C67" i="1" s="1"/>
  <c r="C68" i="1"/>
  <c r="D6" i="12" s="1"/>
  <c r="F45" i="1"/>
  <c r="F46" i="1"/>
  <c r="F51" i="1"/>
  <c r="C44" i="1"/>
  <c r="C76" i="1"/>
  <c r="D7" i="12" s="1"/>
  <c r="C18" i="1"/>
  <c r="H168" i="2"/>
  <c r="H177" i="2"/>
  <c r="G8" i="12"/>
  <c r="F168" i="2"/>
  <c r="L168" i="2" s="1"/>
  <c r="F177" i="2"/>
  <c r="E8" i="12"/>
  <c r="D8" i="16" s="1"/>
  <c r="F178" i="2"/>
  <c r="E9" i="12"/>
  <c r="D9" i="16" s="1"/>
  <c r="F169" i="2"/>
  <c r="L169" i="2" s="1"/>
  <c r="H179" i="2"/>
  <c r="G10" i="12"/>
  <c r="H170" i="2"/>
  <c r="H180" i="2"/>
  <c r="H171" i="2"/>
  <c r="G11" i="12"/>
  <c r="C12" i="12"/>
  <c r="D181" i="2"/>
  <c r="D172" i="2"/>
  <c r="F9" i="16"/>
  <c r="B13" i="16"/>
  <c r="F13" i="16" s="1"/>
  <c r="D15" i="16"/>
  <c r="H15" i="16" s="1"/>
  <c r="H11" i="16"/>
  <c r="D179" i="2"/>
  <c r="C10" i="12"/>
  <c r="B10" i="16" s="1"/>
  <c r="D170" i="2"/>
  <c r="J170" i="2" s="1"/>
  <c r="D180" i="2"/>
  <c r="D171" i="2"/>
  <c r="J171" i="2" s="1"/>
  <c r="C11" i="12"/>
  <c r="B11" i="16" s="1"/>
  <c r="F171" i="2"/>
  <c r="L171" i="2" s="1"/>
  <c r="D178" i="2"/>
  <c r="H178" i="2"/>
  <c r="F180" i="2"/>
  <c r="D182" i="2"/>
  <c r="C13" i="12"/>
  <c r="E10" i="12"/>
  <c r="D10" i="16" s="1"/>
  <c r="D169" i="2"/>
  <c r="J169" i="2" s="1"/>
  <c r="F170" i="2"/>
  <c r="L170" i="2" s="1"/>
  <c r="D168" i="2"/>
  <c r="J168" i="2" s="1"/>
  <c r="D177" i="2"/>
  <c r="C8" i="12"/>
  <c r="B8" i="16" s="1"/>
  <c r="D38" i="11"/>
  <c r="D23" i="11"/>
  <c r="F29" i="11"/>
  <c r="G28" i="11"/>
  <c r="F45" i="11"/>
  <c r="F49" i="11" s="1"/>
  <c r="G44" i="11"/>
  <c r="E29" i="11"/>
  <c r="E45" i="11"/>
  <c r="F14" i="11"/>
  <c r="F18" i="11" s="1"/>
  <c r="E25" i="8"/>
  <c r="E28" i="8" s="1"/>
  <c r="E4" i="8" s="1"/>
  <c r="E14" i="11"/>
  <c r="B61" i="1"/>
  <c r="D61" i="1"/>
  <c r="G7" i="12"/>
  <c r="G6" i="12"/>
  <c r="F61" i="1"/>
  <c r="F7" i="12"/>
  <c r="F6" i="12"/>
  <c r="E61" i="1"/>
  <c r="C61" i="1"/>
  <c r="C7" i="12"/>
  <c r="B45" i="1" l="1"/>
  <c r="B103" i="1" s="1"/>
  <c r="B51" i="1"/>
  <c r="D17" i="12"/>
  <c r="E41" i="1"/>
  <c r="B41" i="1"/>
  <c r="D30" i="1"/>
  <c r="D32" i="1" s="1"/>
  <c r="C30" i="1"/>
  <c r="C32" i="1" s="1"/>
  <c r="D40" i="1"/>
  <c r="D49" i="1" s="1"/>
  <c r="C40" i="1"/>
  <c r="C49" i="1" s="1"/>
  <c r="E31" i="1"/>
  <c r="E49" i="1" s="1"/>
  <c r="E65" i="1" s="1"/>
  <c r="E29" i="1"/>
  <c r="D37" i="1"/>
  <c r="D38" i="1" s="1"/>
  <c r="D39" i="1" s="1"/>
  <c r="F40" i="1"/>
  <c r="F49" i="1" s="1"/>
  <c r="F30" i="1"/>
  <c r="F32" i="1" s="1"/>
  <c r="C37" i="1"/>
  <c r="C38" i="1" s="1"/>
  <c r="F37" i="1"/>
  <c r="F38" i="1" s="1"/>
  <c r="B29" i="1"/>
  <c r="B31" i="1"/>
  <c r="B49" i="1" s="1"/>
  <c r="C46" i="1"/>
  <c r="C51" i="1"/>
  <c r="C45" i="1"/>
  <c r="E17" i="12"/>
  <c r="D12" i="16"/>
  <c r="H12" i="16" s="1"/>
  <c r="H8" i="16"/>
  <c r="D14" i="16"/>
  <c r="H14" i="16" s="1"/>
  <c r="H10" i="16"/>
  <c r="F11" i="16"/>
  <c r="I11" i="16" s="1"/>
  <c r="B15" i="16"/>
  <c r="F15" i="16" s="1"/>
  <c r="I15" i="16" s="1"/>
  <c r="F10" i="16"/>
  <c r="B14" i="16"/>
  <c r="F14" i="16" s="1"/>
  <c r="H9" i="16"/>
  <c r="I9" i="16" s="1"/>
  <c r="D13" i="16"/>
  <c r="H13" i="16" s="1"/>
  <c r="I13" i="16" s="1"/>
  <c r="B12" i="16"/>
  <c r="F12" i="16" s="1"/>
  <c r="F8" i="16"/>
  <c r="E14" i="8"/>
  <c r="E18" i="8" s="1"/>
  <c r="E102" i="1"/>
  <c r="H28" i="11"/>
  <c r="G29" i="11"/>
  <c r="G45" i="11"/>
  <c r="H44" i="11"/>
  <c r="F54" i="11"/>
  <c r="E54" i="11"/>
  <c r="E38" i="11"/>
  <c r="F33" i="11"/>
  <c r="F55" i="11" s="1"/>
  <c r="E8" i="8" s="1"/>
  <c r="E6" i="12"/>
  <c r="D6" i="16" s="1"/>
  <c r="C5" i="12"/>
  <c r="B3" i="16" s="1"/>
  <c r="G14" i="11"/>
  <c r="F25" i="8"/>
  <c r="F28" i="8" s="1"/>
  <c r="F4" i="8" s="1"/>
  <c r="G17" i="12"/>
  <c r="F17" i="12"/>
  <c r="C6" i="16"/>
  <c r="D24" i="12"/>
  <c r="C17" i="12"/>
  <c r="C6" i="12"/>
  <c r="D102" i="1"/>
  <c r="F103" i="1"/>
  <c r="E103" i="1"/>
  <c r="D103" i="1"/>
  <c r="I8" i="16" l="1"/>
  <c r="I12" i="16"/>
  <c r="I10" i="16"/>
  <c r="E15" i="8"/>
  <c r="E10" i="8"/>
  <c r="F39" i="1"/>
  <c r="F41" i="1" s="1"/>
  <c r="F47" i="1"/>
  <c r="F48" i="1" s="1"/>
  <c r="F50" i="1" s="1"/>
  <c r="F73" i="1" s="1"/>
  <c r="C39" i="1"/>
  <c r="C41" i="1" s="1"/>
  <c r="C47" i="1"/>
  <c r="D112" i="1"/>
  <c r="D100" i="1"/>
  <c r="D118" i="1" s="1"/>
  <c r="E47" i="1"/>
  <c r="E48" i="1" s="1"/>
  <c r="E50" i="1" s="1"/>
  <c r="E73" i="1" s="1"/>
  <c r="E30" i="1"/>
  <c r="E32" i="1" s="1"/>
  <c r="F112" i="1"/>
  <c r="F113" i="1" s="1"/>
  <c r="F100" i="1"/>
  <c r="F109" i="1" s="1"/>
  <c r="E112" i="1"/>
  <c r="E113" i="1" s="1"/>
  <c r="E100" i="1"/>
  <c r="E109" i="1" s="1"/>
  <c r="D41" i="1"/>
  <c r="D47" i="1"/>
  <c r="D48" i="1" s="1"/>
  <c r="D50" i="1" s="1"/>
  <c r="D74" i="1" s="1"/>
  <c r="D65" i="1"/>
  <c r="F65" i="1"/>
  <c r="B112" i="1"/>
  <c r="B113" i="1" s="1"/>
  <c r="B100" i="1"/>
  <c r="C112" i="1"/>
  <c r="C113" i="1" s="1"/>
  <c r="C100" i="1"/>
  <c r="B47" i="1"/>
  <c r="B48" i="1" s="1"/>
  <c r="B50" i="1" s="1"/>
  <c r="B30" i="1"/>
  <c r="B32" i="1" s="1"/>
  <c r="C102" i="1"/>
  <c r="C48" i="1"/>
  <c r="C50" i="1" s="1"/>
  <c r="C74" i="1" s="1"/>
  <c r="C65" i="1"/>
  <c r="F102" i="1"/>
  <c r="F104" i="1" s="1"/>
  <c r="I14" i="16"/>
  <c r="B104" i="1"/>
  <c r="F14" i="8"/>
  <c r="F18" i="8" s="1"/>
  <c r="C103" i="1"/>
  <c r="E24" i="12"/>
  <c r="F38" i="11"/>
  <c r="H45" i="11"/>
  <c r="I44" i="11"/>
  <c r="I33" i="11"/>
  <c r="H33" i="11"/>
  <c r="G33" i="11"/>
  <c r="G49" i="11"/>
  <c r="G50" i="11" s="1"/>
  <c r="I49" i="11"/>
  <c r="H49" i="11"/>
  <c r="I28" i="11"/>
  <c r="H29" i="11"/>
  <c r="B107" i="1"/>
  <c r="B65" i="1"/>
  <c r="H14" i="11"/>
  <c r="G25" i="8"/>
  <c r="G28" i="8" s="1"/>
  <c r="G4" i="8" s="1"/>
  <c r="E23" i="11"/>
  <c r="B5" i="16"/>
  <c r="F5" i="16" s="1"/>
  <c r="F3" i="16"/>
  <c r="D5" i="12"/>
  <c r="C3" i="16" s="1"/>
  <c r="C7" i="16"/>
  <c r="G7" i="16" s="1"/>
  <c r="G6" i="16"/>
  <c r="B6" i="16"/>
  <c r="B7" i="16" s="1"/>
  <c r="F7" i="16" s="1"/>
  <c r="C24" i="12"/>
  <c r="D66" i="1"/>
  <c r="D7" i="16"/>
  <c r="H7" i="16" s="1"/>
  <c r="H6" i="16"/>
  <c r="E66" i="1"/>
  <c r="E104" i="1"/>
  <c r="F107" i="1"/>
  <c r="D113" i="1"/>
  <c r="E107" i="1"/>
  <c r="F66" i="1"/>
  <c r="D104" i="1"/>
  <c r="C107" i="1"/>
  <c r="D107" i="1"/>
  <c r="B66" i="1"/>
  <c r="E74" i="1" l="1"/>
  <c r="G55" i="11"/>
  <c r="F8" i="8" s="1"/>
  <c r="F15" i="8" s="1"/>
  <c r="G38" i="11"/>
  <c r="C104" i="1"/>
  <c r="B114" i="1"/>
  <c r="B116" i="1" s="1"/>
  <c r="B99" i="1"/>
  <c r="B101" i="1" s="1"/>
  <c r="B110" i="1" s="1"/>
  <c r="B73" i="1"/>
  <c r="B74" i="1"/>
  <c r="B118" i="1"/>
  <c r="B109" i="1"/>
  <c r="D114" i="1"/>
  <c r="D116" i="1" s="1"/>
  <c r="D99" i="1"/>
  <c r="D73" i="1"/>
  <c r="F118" i="1"/>
  <c r="E114" i="1"/>
  <c r="E116" i="1" s="1"/>
  <c r="E99" i="1"/>
  <c r="E108" i="1" s="1"/>
  <c r="F114" i="1"/>
  <c r="F116" i="1" s="1"/>
  <c r="F99" i="1"/>
  <c r="D109" i="1"/>
  <c r="C114" i="1"/>
  <c r="C116" i="1" s="1"/>
  <c r="C99" i="1"/>
  <c r="C118" i="1"/>
  <c r="E118" i="1"/>
  <c r="C73" i="1"/>
  <c r="C66" i="1"/>
  <c r="G24" i="12"/>
  <c r="H24" i="12" s="1"/>
  <c r="I24" i="12" s="1"/>
  <c r="K24" i="12" s="1"/>
  <c r="K26" i="12" s="1"/>
  <c r="F74" i="1"/>
  <c r="C109" i="1"/>
  <c r="G14" i="8"/>
  <c r="G18" i="8" s="1"/>
  <c r="I50" i="11"/>
  <c r="J50" i="11"/>
  <c r="H50" i="11"/>
  <c r="H51" i="11" s="1"/>
  <c r="J34" i="11"/>
  <c r="I34" i="11"/>
  <c r="J28" i="11"/>
  <c r="J29" i="11" s="1"/>
  <c r="I29" i="11"/>
  <c r="G54" i="11"/>
  <c r="J44" i="11"/>
  <c r="J45" i="11" s="1"/>
  <c r="I45" i="11"/>
  <c r="I7" i="16"/>
  <c r="C5" i="16"/>
  <c r="G5" i="16" s="1"/>
  <c r="G3" i="16"/>
  <c r="I14" i="11"/>
  <c r="H25" i="8"/>
  <c r="H28" i="8" s="1"/>
  <c r="H4" i="8" s="1"/>
  <c r="E5" i="12"/>
  <c r="D3" i="16" s="1"/>
  <c r="F24" i="11"/>
  <c r="F6" i="16"/>
  <c r="I6" i="16" s="1"/>
  <c r="H34" i="11" l="1"/>
  <c r="H55" i="11" s="1"/>
  <c r="G8" i="8" s="1"/>
  <c r="F10" i="8"/>
  <c r="H14" i="8"/>
  <c r="H18" i="8" s="1"/>
  <c r="F117" i="1"/>
  <c r="F119" i="1" s="1"/>
  <c r="F101" i="1"/>
  <c r="F110" i="1" s="1"/>
  <c r="B117" i="1"/>
  <c r="B119" i="1" s="1"/>
  <c r="B108" i="1"/>
  <c r="C117" i="1"/>
  <c r="C119" i="1" s="1"/>
  <c r="C101" i="1"/>
  <c r="C110" i="1" s="1"/>
  <c r="C108" i="1"/>
  <c r="F108" i="1"/>
  <c r="E117" i="1"/>
  <c r="E119" i="1" s="1"/>
  <c r="E101" i="1"/>
  <c r="E110" i="1" s="1"/>
  <c r="D117" i="1"/>
  <c r="D119" i="1" s="1"/>
  <c r="D108" i="1"/>
  <c r="D101" i="1"/>
  <c r="D110" i="1" s="1"/>
  <c r="E6" i="8"/>
  <c r="F39" i="11"/>
  <c r="E7" i="8" s="1"/>
  <c r="I35" i="11"/>
  <c r="H38" i="11"/>
  <c r="I51" i="11"/>
  <c r="I52" i="11" s="1"/>
  <c r="J51" i="11"/>
  <c r="H54" i="11"/>
  <c r="I18" i="11"/>
  <c r="H18" i="11"/>
  <c r="G18" i="11"/>
  <c r="D5" i="16"/>
  <c r="H5" i="16" s="1"/>
  <c r="I5" i="16" s="1"/>
  <c r="H3" i="16"/>
  <c r="I3" i="16" s="1"/>
  <c r="F5" i="12"/>
  <c r="J14" i="11"/>
  <c r="I25" i="8"/>
  <c r="I28" i="8" s="1"/>
  <c r="I4" i="8" s="1"/>
  <c r="F23" i="11"/>
  <c r="G23" i="11" l="1"/>
  <c r="G19" i="11"/>
  <c r="J35" i="11"/>
  <c r="I55" i="11"/>
  <c r="H8" i="8" s="1"/>
  <c r="H10" i="8" s="1"/>
  <c r="G15" i="8"/>
  <c r="G10" i="8"/>
  <c r="C4" i="12"/>
  <c r="B2" i="16" s="1"/>
  <c r="E13" i="8"/>
  <c r="E17" i="8" s="1"/>
  <c r="E9" i="8"/>
  <c r="E11" i="8" s="1"/>
  <c r="I14" i="8"/>
  <c r="I18" i="8" s="1"/>
  <c r="I38" i="11"/>
  <c r="I54" i="11"/>
  <c r="J52" i="11"/>
  <c r="J36" i="11"/>
  <c r="G5" i="12"/>
  <c r="H15" i="8" l="1"/>
  <c r="G24" i="11"/>
  <c r="J53" i="11"/>
  <c r="J19" i="11"/>
  <c r="I19" i="11"/>
  <c r="H19" i="11"/>
  <c r="H20" i="11" s="1"/>
  <c r="B4" i="16"/>
  <c r="F4" i="16" s="1"/>
  <c r="F2" i="16"/>
  <c r="J55" i="11" l="1"/>
  <c r="I8" i="8" s="1"/>
  <c r="F6" i="8"/>
  <c r="G39" i="11"/>
  <c r="F7" i="8" s="1"/>
  <c r="J54" i="11"/>
  <c r="J38" i="11"/>
  <c r="H24" i="11"/>
  <c r="D4" i="12" l="1"/>
  <c r="C2" i="16" s="1"/>
  <c r="F13" i="8"/>
  <c r="F17" i="8" s="1"/>
  <c r="F9" i="8"/>
  <c r="F11" i="8" s="1"/>
  <c r="I15" i="8"/>
  <c r="I10" i="8"/>
  <c r="G6" i="8"/>
  <c r="H39" i="11"/>
  <c r="G7" i="8" s="1"/>
  <c r="J20" i="11"/>
  <c r="I20" i="11"/>
  <c r="I21" i="11" s="1"/>
  <c r="H23" i="11"/>
  <c r="C4" i="16" l="1"/>
  <c r="G4" i="16" s="1"/>
  <c r="G2" i="16"/>
  <c r="E4" i="12"/>
  <c r="D2" i="16" s="1"/>
  <c r="G13" i="8"/>
  <c r="G17" i="8" s="1"/>
  <c r="G9" i="8"/>
  <c r="G11" i="8" s="1"/>
  <c r="I24" i="11"/>
  <c r="H6" i="8" l="1"/>
  <c r="I39" i="11"/>
  <c r="H7" i="8" s="1"/>
  <c r="J21" i="11"/>
  <c r="J22" i="11" s="1"/>
  <c r="I23" i="11"/>
  <c r="H2" i="16"/>
  <c r="I2" i="16" s="1"/>
  <c r="D4" i="16"/>
  <c r="H4" i="16" s="1"/>
  <c r="I4" i="16" s="1"/>
  <c r="H13" i="8" l="1"/>
  <c r="H17" i="8" s="1"/>
  <c r="F4" i="12"/>
  <c r="H9" i="8"/>
  <c r="H11" i="8" s="1"/>
  <c r="K2" i="16"/>
  <c r="J24" i="11"/>
  <c r="I6" i="8" l="1"/>
  <c r="J39" i="11"/>
  <c r="I7" i="8" s="1"/>
  <c r="J23" i="11"/>
  <c r="I13" i="8" l="1"/>
  <c r="I17" i="8" s="1"/>
  <c r="G4" i="12"/>
  <c r="I9" i="8"/>
  <c r="I11" i="8" s="1"/>
</calcChain>
</file>

<file path=xl/comments1.xml><?xml version="1.0" encoding="utf-8"?>
<comments xmlns="http://schemas.openxmlformats.org/spreadsheetml/2006/main">
  <authors>
    <author>Anjan</author>
  </authors>
  <commentList>
    <comment ref="B16" authorId="0" shapeId="0">
      <text>
        <r>
          <rPr>
            <b/>
            <sz val="9"/>
            <color indexed="81"/>
            <rFont val="Tahoma"/>
            <family val="2"/>
          </rPr>
          <t>Continuous distribution deducted</t>
        </r>
      </text>
    </comment>
    <comment ref="C17" authorId="0" shapeId="0">
      <text>
        <r>
          <rPr>
            <b/>
            <sz val="9"/>
            <color indexed="81"/>
            <rFont val="Tahoma"/>
            <family val="2"/>
          </rPr>
          <t>Continuous distribution deducted</t>
        </r>
      </text>
    </comment>
    <comment ref="D18" authorId="0" shapeId="0">
      <text>
        <r>
          <rPr>
            <b/>
            <sz val="9"/>
            <color indexed="81"/>
            <rFont val="Tahoma"/>
            <family val="2"/>
          </rPr>
          <t>Continuous distribution deducted</t>
        </r>
      </text>
    </comment>
    <comment ref="E19" authorId="0" shapeId="0">
      <text>
        <r>
          <rPr>
            <b/>
            <sz val="9"/>
            <color indexed="81"/>
            <rFont val="Tahoma"/>
            <family val="2"/>
          </rPr>
          <t>Will be distributed in March 2020 onward from the 3rd year procurement</t>
        </r>
      </text>
    </comment>
  </commentList>
</comments>
</file>

<file path=xl/comments2.xml><?xml version="1.0" encoding="utf-8"?>
<comments xmlns="http://schemas.openxmlformats.org/spreadsheetml/2006/main">
  <authors>
    <author>Anjan</author>
    <author>BRAC</author>
  </authors>
  <commentList>
    <comment ref="F5" authorId="0" shapeId="0">
      <text>
        <r>
          <rPr>
            <b/>
            <sz val="9"/>
            <color indexed="81"/>
            <rFont val="Tahoma"/>
            <family val="2"/>
          </rPr>
          <t>Average growth rate of CTG &amp; CXB</t>
        </r>
      </text>
    </comment>
    <comment ref="D13" authorId="1" shapeId="0">
      <text>
        <r>
          <rPr>
            <sz val="9"/>
            <color indexed="81"/>
            <rFont val="Tahoma"/>
            <family val="2"/>
          </rPr>
          <t>Population of villages from CTG &amp; CXB where we had at least 3 cases in last 3 years (2017-19)</t>
        </r>
      </text>
    </comment>
    <comment ref="E17" authorId="0" shapeId="0">
      <text>
        <r>
          <rPr>
            <b/>
            <sz val="9"/>
            <color indexed="81"/>
            <rFont val="Tahoma"/>
            <family val="2"/>
          </rPr>
          <t>(1,217,580-1,136,910) 80,670 LLINs  from 3rd yr mass distribution in Mar + 219,791 To be distributed in Dec 2020 from the UQD procurement (Total LLIN from UQD 703,500</t>
        </r>
      </text>
    </comment>
    <comment ref="E32" authorId="0" shapeId="0">
      <text>
        <r>
          <rPr>
            <b/>
            <sz val="9"/>
            <color indexed="81"/>
            <rFont val="Tahoma"/>
            <family val="2"/>
          </rPr>
          <t>To be distributed in Dec 2020 from the UQD procurement</t>
        </r>
      </text>
    </comment>
    <comment ref="D44" authorId="1" shapeId="0">
      <text>
        <r>
          <rPr>
            <b/>
            <sz val="9"/>
            <color indexed="81"/>
            <rFont val="Tahoma"/>
            <family val="2"/>
          </rPr>
          <t>BRAC:</t>
        </r>
        <r>
          <rPr>
            <sz val="9"/>
            <color indexed="81"/>
            <rFont val="Tahoma"/>
            <family val="2"/>
          </rPr>
          <t xml:space="preserve">
Population of </t>
        </r>
      </text>
    </comment>
    <comment ref="E48" authorId="0" shapeId="0">
      <text>
        <r>
          <rPr>
            <b/>
            <sz val="9"/>
            <color indexed="81"/>
            <rFont val="Tahoma"/>
            <family val="2"/>
          </rPr>
          <t>To be distributed in Dec 2020 from the UQD procurement</t>
        </r>
      </text>
    </comment>
  </commentList>
</comments>
</file>

<file path=xl/comments3.xml><?xml version="1.0" encoding="utf-8"?>
<comments xmlns="http://schemas.openxmlformats.org/spreadsheetml/2006/main">
  <authors>
    <author>Edward Hewitt</author>
    <author>Anjan</author>
  </authors>
  <commentList>
    <comment ref="B13" authorId="0" shapeId="0">
      <text>
        <r>
          <rPr>
            <sz val="9"/>
            <color indexed="81"/>
            <rFont val="Verdana"/>
            <family val="2"/>
          </rPr>
          <t>These figures are based on expert local knowledge. They will be revised annually based on experience.</t>
        </r>
      </text>
    </comment>
    <comment ref="A17" authorId="0" shapeId="0">
      <text>
        <r>
          <rPr>
            <b/>
            <sz val="9"/>
            <color indexed="81"/>
            <rFont val="Calibri"/>
            <family val="2"/>
          </rPr>
          <t xml:space="preserve">This intervention will be restricted to communities that have been targeted to receive LLINs in the previous 2 years. Others will recieve focal responsive IRS instead. </t>
        </r>
      </text>
    </comment>
    <comment ref="E22" authorId="1" shapeId="0">
      <text>
        <r>
          <rPr>
            <b/>
            <sz val="9"/>
            <color indexed="81"/>
            <rFont val="Tahoma"/>
            <family val="2"/>
          </rPr>
          <t>1/3 pop of 10 districts</t>
        </r>
      </text>
    </comment>
    <comment ref="G26" authorId="1" shapeId="0">
      <text>
        <r>
          <rPr>
            <b/>
            <sz val="9"/>
            <color indexed="81"/>
            <rFont val="Tahoma"/>
            <family val="2"/>
          </rPr>
          <t>40000 LLINs removed.</t>
        </r>
      </text>
    </comment>
    <comment ref="E56" authorId="1" shapeId="0">
      <text>
        <r>
          <rPr>
            <b/>
            <sz val="9"/>
            <color indexed="81"/>
            <rFont val="Tahoma"/>
            <family val="2"/>
          </rPr>
          <t>1/3 pop of 8 districts</t>
        </r>
      </text>
    </comment>
  </commentList>
</comments>
</file>

<file path=xl/comments4.xml><?xml version="1.0" encoding="utf-8"?>
<comments xmlns="http://schemas.openxmlformats.org/spreadsheetml/2006/main">
  <authors>
    <author>Anjan</author>
    <author>Edward Hewitt</author>
  </authors>
  <commentList>
    <comment ref="B55" authorId="0" shapeId="0">
      <text>
        <r>
          <rPr>
            <b/>
            <sz val="9"/>
            <color indexed="81"/>
            <rFont val="Tahoma"/>
            <family val="2"/>
          </rPr>
          <t>As per CXB ABER</t>
        </r>
      </text>
    </comment>
    <comment ref="B80" authorId="1" shapeId="0">
      <text>
        <r>
          <rPr>
            <b/>
            <sz val="9"/>
            <color indexed="81"/>
            <rFont val="Calibri"/>
            <family val="2"/>
          </rPr>
          <t>422 upazila hospitals.</t>
        </r>
      </text>
    </comment>
  </commentList>
</comments>
</file>

<file path=xl/comments5.xml><?xml version="1.0" encoding="utf-8"?>
<comments xmlns="http://schemas.openxmlformats.org/spreadsheetml/2006/main">
  <authors>
    <author>Author</author>
  </authors>
  <commentList>
    <comment ref="A8" authorId="0" shapeId="0">
      <text>
        <r>
          <rPr>
            <b/>
            <sz val="9"/>
            <color indexed="81"/>
            <rFont val="Tahoma"/>
            <family val="2"/>
          </rPr>
          <t>Author:</t>
        </r>
        <r>
          <rPr>
            <sz val="9"/>
            <color indexed="81"/>
            <rFont val="Tahoma"/>
            <family val="2"/>
          </rPr>
          <t xml:space="preserve">
what we estimated for 13 districts in previous</t>
        </r>
      </text>
    </comment>
  </commentList>
</comments>
</file>

<file path=xl/comments6.xml><?xml version="1.0" encoding="utf-8"?>
<comments xmlns="http://schemas.openxmlformats.org/spreadsheetml/2006/main">
  <authors>
    <author>Edward Hewitt</author>
    <author>Anjan</author>
  </authors>
  <commentList>
    <comment ref="B4" authorId="0" shapeId="0">
      <text>
        <r>
          <rPr>
            <b/>
            <sz val="9"/>
            <color indexed="81"/>
            <rFont val="Calibri"/>
            <family val="2"/>
          </rPr>
          <t>from 13 Districts (71 upazilas - 595 unions and 31 municipalities)</t>
        </r>
      </text>
    </comment>
    <comment ref="L7" authorId="1" shapeId="0">
      <text>
        <r>
          <rPr>
            <sz val="9"/>
            <color indexed="81"/>
            <rFont val="Tahoma"/>
            <family val="2"/>
          </rPr>
          <t>Population based on HW's HH visit is used 2016 onward</t>
        </r>
      </text>
    </comment>
  </commentList>
</comments>
</file>

<file path=xl/comments7.xml><?xml version="1.0" encoding="utf-8"?>
<comments xmlns="http://schemas.openxmlformats.org/spreadsheetml/2006/main">
  <authors>
    <author>Anjan</author>
  </authors>
  <commentList>
    <comment ref="B83" authorId="0" shapeId="0">
      <text>
        <r>
          <rPr>
            <sz val="9"/>
            <color indexed="81"/>
            <rFont val="Tahoma"/>
            <family val="2"/>
          </rPr>
          <t>3,500 NGO service providers (decreasing to 1521 since 2021), 139 NGO labs (decreasing to 47 since 2021), 35 tertiary hospitals, 64 districts nationwide, 493 upazilas nationwide, 1,469 Community Clinics in 13 endemic districts (increasing to 1,710 in 3 years), and 2,831 healthworkers in 13 endemic disticts.</t>
        </r>
      </text>
    </comment>
    <comment ref="B89" authorId="0" shapeId="0">
      <text>
        <r>
          <rPr>
            <b/>
            <sz val="9"/>
            <color indexed="81"/>
            <rFont val="Tahoma"/>
            <family val="2"/>
          </rPr>
          <t>35 tertiary hospitals, 64 districts nationwide, 72 upazilas in the 13 endemic districts.</t>
        </r>
      </text>
    </comment>
  </commentList>
</comments>
</file>

<file path=xl/sharedStrings.xml><?xml version="1.0" encoding="utf-8"?>
<sst xmlns="http://schemas.openxmlformats.org/spreadsheetml/2006/main" count="655" uniqueCount="416">
  <si>
    <t>ABER</t>
  </si>
  <si>
    <t>RDT requirements in Bangladesh for NSP (2017-21)</t>
  </si>
  <si>
    <t>Total</t>
  </si>
  <si>
    <t>Population growth</t>
  </si>
  <si>
    <t>Population growth (2001-10)</t>
  </si>
  <si>
    <t>Also required:</t>
  </si>
  <si>
    <t>Facility level</t>
  </si>
  <si>
    <t>Community level</t>
  </si>
  <si>
    <t>A</t>
  </si>
  <si>
    <t>Pop for GF up until july 15</t>
  </si>
  <si>
    <t>B</t>
  </si>
  <si>
    <t>population for GF from July 2015  (533 unions and 23 municipalities)</t>
  </si>
  <si>
    <t>C</t>
  </si>
  <si>
    <t>population of 13 districts  (595 unions plus 31 municipalities )</t>
  </si>
  <si>
    <t>API targets for GF R9</t>
  </si>
  <si>
    <t>API targets for GF NFM</t>
  </si>
  <si>
    <t>ASSUMPTIONS</t>
  </si>
  <si>
    <r>
      <t xml:space="preserve">% of cases caused by </t>
    </r>
    <r>
      <rPr>
        <i/>
        <sz val="10"/>
        <rFont val="Verdana"/>
        <family val="2"/>
      </rPr>
      <t>P. falciparum</t>
    </r>
  </si>
  <si>
    <r>
      <t xml:space="preserve">% of cases caused by </t>
    </r>
    <r>
      <rPr>
        <i/>
        <sz val="10"/>
        <rFont val="Verdana"/>
        <family val="2"/>
      </rPr>
      <t>P. falciparum &amp; P.vivax</t>
    </r>
  </si>
  <si>
    <t>% of cases treated at community level</t>
  </si>
  <si>
    <t>Year</t>
  </si>
  <si>
    <t>Expected confirmed cases</t>
  </si>
  <si>
    <t>P.f + mixed</t>
  </si>
  <si>
    <t>P.v</t>
  </si>
  <si>
    <t>Pf</t>
  </si>
  <si>
    <t xml:space="preserve">Pv </t>
  </si>
  <si>
    <t>&lt;1 year</t>
  </si>
  <si>
    <t>1-4 year</t>
  </si>
  <si>
    <t>5-9 year</t>
  </si>
  <si>
    <t>10-14 year</t>
  </si>
  <si>
    <t>&gt;15 year</t>
  </si>
  <si>
    <t>Estimated Pf+Mixed cases by age-group and year</t>
  </si>
  <si>
    <t>10_14 year</t>
  </si>
  <si>
    <t>Estimated Pv cases by age-group and year</t>
  </si>
  <si>
    <t>Estimated Pv+mixed cases by age-group and year</t>
  </si>
  <si>
    <t>Estimated number of severe cases by year</t>
  </si>
  <si>
    <t>Number of blisters/tablets/vials required per course by age-group</t>
  </si>
  <si>
    <t>ACT</t>
  </si>
  <si>
    <t>CHL</t>
  </si>
  <si>
    <t>na</t>
  </si>
  <si>
    <t>Minimum requirements based on one 'container' per outlet</t>
  </si>
  <si>
    <t>Pharmaceuticals</t>
  </si>
  <si>
    <t>Units per course</t>
  </si>
  <si>
    <t>Minimum number of courses required</t>
  </si>
  <si>
    <t>ACT1</t>
  </si>
  <si>
    <t>ACT2</t>
  </si>
  <si>
    <t>ACT3</t>
  </si>
  <si>
    <t>ACT4</t>
  </si>
  <si>
    <t>CQ</t>
  </si>
  <si>
    <t>PQ</t>
  </si>
  <si>
    <t>Artesunate injection</t>
  </si>
  <si>
    <t>Number of outlets for each pharmacuetical product by year</t>
  </si>
  <si>
    <t>Pharmaceutical product</t>
  </si>
  <si>
    <t>DRUG REQUIREMENTS</t>
  </si>
  <si>
    <t>A. Requirements for pharmaceuticals based on caseload</t>
  </si>
  <si>
    <t>ACT requirements by age-group and year (blisters)</t>
  </si>
  <si>
    <t>(For Pf + mixed)</t>
  </si>
  <si>
    <t xml:space="preserve">1-4 year _ACT 6 </t>
  </si>
  <si>
    <t xml:space="preserve">5-9 year_ ACT 12 </t>
  </si>
  <si>
    <t xml:space="preserve">10_14 year_ACT 18 </t>
  </si>
  <si>
    <t xml:space="preserve">&gt;15 year- ACT 24 </t>
  </si>
  <si>
    <t>CQ requirements for Pv by age-group and year (tablets)</t>
  </si>
  <si>
    <t>PQ requirements for Pf by age-group and year (tablets)</t>
  </si>
  <si>
    <t>PQ requirements for Pv &amp; mixed by age-group and year (tablets)</t>
  </si>
  <si>
    <t>Artesunate injection for severe malaria</t>
  </si>
  <si>
    <t>B. Summary of requirements for pharmaceuticals based on caseload</t>
  </si>
  <si>
    <t>shelf-life (years)</t>
  </si>
  <si>
    <t>D. Total requirements for pharmaceuticals (B+C)</t>
  </si>
  <si>
    <t>% of cases severe</t>
  </si>
  <si>
    <t>CQ tablet</t>
  </si>
  <si>
    <t>Artesunate injection vial</t>
  </si>
  <si>
    <t>Y1</t>
  </si>
  <si>
    <t>Y2</t>
  </si>
  <si>
    <t>Y3</t>
  </si>
  <si>
    <t>Population at risk</t>
  </si>
  <si>
    <t>LLINs required</t>
  </si>
  <si>
    <t>Coverage achieved</t>
  </si>
  <si>
    <t>Assumptions</t>
  </si>
  <si>
    <t>Population growth rate</t>
  </si>
  <si>
    <t>Target coverage (people per LLIN)</t>
  </si>
  <si>
    <t>Supplementary LLIN provision</t>
  </si>
  <si>
    <t xml:space="preserve">2.1.6  Provide LLINs to protect people in new settlements. </t>
  </si>
  <si>
    <t xml:space="preserve">2.1.9  Provide LLINs in the event of disasters and in response to outbreaks and confirmed transmission foci. </t>
  </si>
  <si>
    <t>2.1.2. LLINs for use in forest/forest farms (supplementary nets delivered during routine mass distribution).</t>
  </si>
  <si>
    <t>2.1.3  LLINs for pregnant women (distribution by ANC and RMNCH clinics).</t>
  </si>
  <si>
    <t>CHT</t>
  </si>
  <si>
    <t>NOTE: Revise model periodically to reflect falling endemicity and restratification of risk.</t>
  </si>
  <si>
    <t>HIGH PRIORITY</t>
  </si>
  <si>
    <t>MEDIUM PRIORITY</t>
  </si>
  <si>
    <t>LOW PRIORITY</t>
  </si>
  <si>
    <t>ABSOLUTE PRIORITY</t>
  </si>
  <si>
    <t>Target areas</t>
  </si>
  <si>
    <t>Reduction factor</t>
  </si>
  <si>
    <t>Model for malaria case curve</t>
  </si>
  <si>
    <t>Drop in reduction factor by year</t>
  </si>
  <si>
    <t>API (based on denominator A)</t>
  </si>
  <si>
    <t>API (based on denominator B)</t>
  </si>
  <si>
    <t>API (based on denominator C)</t>
  </si>
  <si>
    <t>GF performance framework targets</t>
  </si>
  <si>
    <t>N.B. Targeted reductions are ambitious. Quantification of requirements must be reviewed annually and buffer stocks must be maintained.</t>
  </si>
  <si>
    <t>PQ blister (10 tabs)</t>
  </si>
  <si>
    <t>Artesunate vials</t>
  </si>
  <si>
    <t>Current situation</t>
  </si>
  <si>
    <t>Artesunate injection vials</t>
  </si>
  <si>
    <t>PQ blisters of 10 tabs</t>
  </si>
  <si>
    <t>CQ tabs</t>
  </si>
  <si>
    <t>ACT1 weight-group specific packages</t>
  </si>
  <si>
    <t>ACT2 weight-group specific packages</t>
  </si>
  <si>
    <t>ACT3 weight-group specific packages</t>
  </si>
  <si>
    <t>ACT4 weight-group specific packages</t>
  </si>
  <si>
    <t>2.1.5  LLINs to protect seasonal agricultural/aquaculture workers.</t>
  </si>
  <si>
    <t>Total % of LLIN target population requiring additional LLINs (delivered at a rate of 1 per person per year)</t>
  </si>
  <si>
    <t>PQ for Pf   (15mg) blister of 10</t>
  </si>
  <si>
    <t>PQ for Pv +mixed (15mg) blister of 10</t>
  </si>
  <si>
    <t>C. Additional courses required every several years (depending on shelf-life) to ensure every outlet has at least 2 treatments</t>
  </si>
  <si>
    <t>Adjustment for buffer stock</t>
  </si>
  <si>
    <t xml:space="preserve">% of Mic tests done at community level (NGO) </t>
  </si>
  <si>
    <t>% of RDT tests done at community level (NGO)</t>
  </si>
  <si>
    <t>Buffer</t>
  </si>
  <si>
    <t>Slides required per year</t>
  </si>
  <si>
    <t>Number of health facilities in 51 districts</t>
  </si>
  <si>
    <t>Slides for 51 'non-endemic' districts</t>
  </si>
  <si>
    <t>RDTs required by private sector</t>
  </si>
  <si>
    <t>RDTs per year</t>
  </si>
  <si>
    <t>Number of targeted private sector facilities</t>
  </si>
  <si>
    <t>Number of doses of each medication required</t>
  </si>
  <si>
    <t>Malaria Mortality Rate (per 100,000 at risk)</t>
  </si>
  <si>
    <t>Indigenous malaria deaths</t>
  </si>
  <si>
    <t>Indigenous and imported malaria deaths</t>
  </si>
  <si>
    <t>Model for MMR curve</t>
  </si>
  <si>
    <t>Settled LLIN target population:</t>
  </si>
  <si>
    <t>LLINs needed for GF gap analysis</t>
  </si>
  <si>
    <t>Mass</t>
  </si>
  <si>
    <t>For GF PF - 'Number of suspected cases that receive a parasitological test':</t>
  </si>
  <si>
    <t>Distribution 2020</t>
  </si>
  <si>
    <t>Distribution 2021</t>
  </si>
  <si>
    <t>Quantification of LLIN requirements:</t>
  </si>
  <si>
    <t>All upazila of 3 CHT districts</t>
  </si>
  <si>
    <t>Low</t>
  </si>
  <si>
    <t xml:space="preserve">Absolute, high and medium </t>
  </si>
  <si>
    <t>continuous distribution</t>
  </si>
  <si>
    <t>3 CHT districts</t>
  </si>
  <si>
    <t>4 upazilas of CXB API &gt;1</t>
  </si>
  <si>
    <t>High (cases in each of 3 yrs)</t>
  </si>
  <si>
    <t>Medium (cases twice in 3 yrs)</t>
  </si>
  <si>
    <t>Low (cases only once in 3 yrs)</t>
  </si>
  <si>
    <t>Total (Mass + Continuous)</t>
  </si>
  <si>
    <t>Gap</t>
  </si>
  <si>
    <t>Total LLINs required for continuous distributions</t>
  </si>
  <si>
    <t>Estimated suspected malaria cases to be tested</t>
  </si>
  <si>
    <t>Estimated RDT based total tests</t>
  </si>
  <si>
    <t>Estimated microscopy based total tests</t>
  </si>
  <si>
    <t>Estimated Total tests in community</t>
  </si>
  <si>
    <t>Estimated Total tests in public health facilities</t>
  </si>
  <si>
    <t>Estimated tests in public health facilities by RDT</t>
  </si>
  <si>
    <t>Estimated tests in public health facilities by Microscopy</t>
  </si>
  <si>
    <t>Target for tests in 13 endemic districts</t>
  </si>
  <si>
    <t>Estimated confirmed cases at public sector</t>
  </si>
  <si>
    <t>Estimated confirmed cases at community</t>
  </si>
  <si>
    <t>Q1</t>
  </si>
  <si>
    <t>Q2</t>
  </si>
  <si>
    <t>Q3</t>
  </si>
  <si>
    <t>Q4</t>
  </si>
  <si>
    <t>Jan-Jun</t>
  </si>
  <si>
    <t>Jul - Dec</t>
  </si>
  <si>
    <t>Avg</t>
  </si>
  <si>
    <t>National</t>
  </si>
  <si>
    <t>Public</t>
  </si>
  <si>
    <t>Community</t>
  </si>
  <si>
    <t>National, Public and Community wise Quaterly and Six-monthly distribution of positive cases: 2018-2020</t>
  </si>
  <si>
    <t>Left for distribution to others</t>
  </si>
  <si>
    <t>Population</t>
  </si>
  <si>
    <t>3 transmission reduction districts</t>
  </si>
  <si>
    <t>Distribution 2022</t>
  </si>
  <si>
    <t>Distribution 2023</t>
  </si>
  <si>
    <t>Distribution 2024</t>
  </si>
  <si>
    <t>Distribution 2025</t>
  </si>
  <si>
    <t>Projections for next 5 years</t>
  </si>
  <si>
    <t>LLIN in the field in 2017</t>
  </si>
  <si>
    <t>LLIN in the field in 2018</t>
  </si>
  <si>
    <t>LLIN in the field in 2019</t>
  </si>
  <si>
    <t>API targets for GF NFR</t>
  </si>
  <si>
    <t>population of 13 districts  (595 unions plus 31 municipalities ) Update 2019</t>
  </si>
  <si>
    <t>API (based on denominator D)</t>
  </si>
  <si>
    <t>API targets for GF NFR2</t>
  </si>
  <si>
    <t xml:space="preserve">Malaria cases by year (actual to 2019 and predicted thereafter) 
</t>
  </si>
  <si>
    <t>Predicted malaria cases by year from 2020</t>
  </si>
  <si>
    <t>% of cases by age-group (2019 data)</t>
  </si>
  <si>
    <t>Target for tests among FDMN</t>
  </si>
  <si>
    <t>% of population to be tested</t>
  </si>
  <si>
    <t>% of tests that are RDT-based among host community</t>
  </si>
  <si>
    <t>% of tests that are RDT-based among FDMN</t>
  </si>
  <si>
    <t>Population in FDMN camp areas</t>
  </si>
  <si>
    <t>Estimated total tests to be done by RDT</t>
  </si>
  <si>
    <t>Estimated total tests to be done by microscopy</t>
  </si>
  <si>
    <t>FDMN camp areas</t>
  </si>
  <si>
    <t>RDTs for 51 'non-endemic' districts</t>
  </si>
  <si>
    <t>Predicted MMR by year from 2020</t>
  </si>
  <si>
    <t>Predicted indigenous malaria death from 2020</t>
  </si>
  <si>
    <t>LLIN attrition rate since 2019</t>
  </si>
  <si>
    <t>LLIN attrition rate till 2017 distribution</t>
  </si>
  <si>
    <t>Additional LLIN required to address the special sleeping pattern in CHT</t>
  </si>
  <si>
    <t>LLIN attrition rate till 2018 distribution</t>
  </si>
  <si>
    <t>LLIN in the field in 2020</t>
  </si>
  <si>
    <t>ABSOLUTE PRIORITY - CONTINUOUS DISTRIBUTION</t>
  </si>
  <si>
    <t>Supplementary LLINs required for settled population</t>
  </si>
  <si>
    <t>for Armed forces</t>
  </si>
  <si>
    <t>for FDMN</t>
  </si>
  <si>
    <t>LLIN requirements for Bangladesh for 2021 to 2025</t>
  </si>
  <si>
    <t>Grand Total Rquirement of LLIN for in NSP:</t>
  </si>
  <si>
    <t>ABSOLUTE PRIORITY - Mass distribution</t>
  </si>
  <si>
    <t>ABSOLUTE PRIORITY - Continuous distribution</t>
  </si>
  <si>
    <t>HIGH PRIORITY - Mass distribution</t>
  </si>
  <si>
    <t>MEDIUM PRIORITY - Mass distribution</t>
  </si>
  <si>
    <t>LOW PRIORITY - Mass distribution</t>
  </si>
  <si>
    <t>Quantification summary of health products for Malaria NSP 2021 - 2025</t>
  </si>
  <si>
    <t>Sl</t>
  </si>
  <si>
    <t>Particulars</t>
  </si>
  <si>
    <t>LLIN - Mass distribution</t>
  </si>
  <si>
    <t>LLIN - Continuous distribution</t>
  </si>
  <si>
    <t>RDT</t>
  </si>
  <si>
    <t>RDTs required by year for 13 districts</t>
  </si>
  <si>
    <t>Slides required by year for 13 districts</t>
  </si>
  <si>
    <t>RDTs per facility per year</t>
  </si>
  <si>
    <t>RDTs required per year</t>
  </si>
  <si>
    <t>E. Total requirements for pharmaceuticals for community level</t>
  </si>
  <si>
    <t>F. Total requirements for pharmaceuticals for health facilities</t>
  </si>
  <si>
    <t>Injection Artisunate, vials</t>
  </si>
  <si>
    <t>RDT, pcs</t>
  </si>
  <si>
    <t>CQ, tabs</t>
  </si>
  <si>
    <t>PQ, blister of 10 tabs</t>
  </si>
  <si>
    <t>ACT 18-tab dose</t>
  </si>
  <si>
    <t>ACT 24-tab dose</t>
  </si>
  <si>
    <t>ACT 6-tab dose</t>
  </si>
  <si>
    <t>ACT 12-tab dose</t>
  </si>
  <si>
    <t>Blood slides, pcs</t>
  </si>
  <si>
    <t>ACT, RDT, LLIN and Inj. Artesunate Product Unit cost</t>
  </si>
  <si>
    <t>SL No</t>
  </si>
  <si>
    <t>Item Name</t>
  </si>
  <si>
    <t>Unit</t>
  </si>
  <si>
    <t>Unit cost</t>
  </si>
  <si>
    <t>Remarks</t>
  </si>
  <si>
    <t>ACT 6 tablet ( Dispersible)</t>
  </si>
  <si>
    <t>Courses/Blister</t>
  </si>
  <si>
    <t>Based on Wambo.org current price ( 02-01-2020)</t>
  </si>
  <si>
    <t>ACT 12 Tablet ( Dispersible)</t>
  </si>
  <si>
    <t>ACT 18 Tablet</t>
  </si>
  <si>
    <t>ACT 24 Tablet</t>
  </si>
  <si>
    <t>Inj. Artesunate 60 mg</t>
  </si>
  <si>
    <t>Vial</t>
  </si>
  <si>
    <t>Test</t>
  </si>
  <si>
    <t>LLIN</t>
  </si>
  <si>
    <t>Pieces</t>
  </si>
  <si>
    <t>ACT, RDT, LLIN and Inj. Artesunate PSM  cost</t>
  </si>
  <si>
    <t>ACT PSM cost</t>
  </si>
  <si>
    <t>of the total product cost</t>
  </si>
  <si>
    <t>LLIN PSM cost</t>
  </si>
  <si>
    <t>Inj. Artesunate PSM cost</t>
  </si>
  <si>
    <t>RDT PSM cost</t>
  </si>
  <si>
    <t>ACTs, RDT, LLIN and Inj. Artesunate Unit cost and PSM cost</t>
  </si>
  <si>
    <t>Overal ABER targeted for 13 districts</t>
  </si>
  <si>
    <t xml:space="preserve">2 slides </t>
  </si>
  <si>
    <t>Tests per facility per year</t>
  </si>
  <si>
    <t>Private sector (in the 13 districts)</t>
  </si>
  <si>
    <t>4 doses</t>
  </si>
  <si>
    <t>for 10 dist</t>
  </si>
  <si>
    <t>for CHT</t>
  </si>
  <si>
    <t>90% of 200</t>
  </si>
  <si>
    <t>10% of 200</t>
  </si>
  <si>
    <t>to be removed</t>
  </si>
  <si>
    <t>Public mic</t>
  </si>
  <si>
    <t>public RDT</t>
  </si>
  <si>
    <t>Community mic</t>
  </si>
  <si>
    <t>Community RDT</t>
  </si>
  <si>
    <t>Private mic</t>
  </si>
  <si>
    <t>Private RDT</t>
  </si>
  <si>
    <t>G Total mic</t>
  </si>
  <si>
    <t>G Total RDT</t>
  </si>
  <si>
    <t>G Total</t>
  </si>
  <si>
    <t>Total microscopy tests in 51 dist</t>
  </si>
  <si>
    <t>Allocation Mic</t>
  </si>
  <si>
    <t>Allocation RDT</t>
  </si>
  <si>
    <t>Allocation total</t>
  </si>
  <si>
    <t>Pv public sector</t>
  </si>
  <si>
    <t>Pv community</t>
  </si>
  <si>
    <t>Pf, mixed public sector</t>
  </si>
  <si>
    <t>Pf, mixed community</t>
  </si>
  <si>
    <t>RDT GF</t>
  </si>
  <si>
    <t>RDT GoB</t>
  </si>
  <si>
    <t xml:space="preserve">Malaria cases </t>
  </si>
  <si>
    <t xml:space="preserve">3 CHTdistricts </t>
  </si>
  <si>
    <t>6 districts</t>
  </si>
  <si>
    <t>4 districts</t>
  </si>
  <si>
    <t xml:space="preserve">Predicted total case for 13 districts </t>
  </si>
  <si>
    <t>In overall Quantification</t>
  </si>
  <si>
    <t>LLIN MASS</t>
  </si>
  <si>
    <t>LLIN Continuous</t>
  </si>
  <si>
    <t>PSM LLIN MASS</t>
  </si>
  <si>
    <t>PSM LLIN Continuous</t>
  </si>
  <si>
    <t>PSM RDT</t>
  </si>
  <si>
    <t>ACT6</t>
  </si>
  <si>
    <t>ACT12</t>
  </si>
  <si>
    <t>ACT18</t>
  </si>
  <si>
    <t>ACT24</t>
  </si>
  <si>
    <t>PSM ACT6</t>
  </si>
  <si>
    <t>PSM  ACT12</t>
  </si>
  <si>
    <t>PSM ACT18</t>
  </si>
  <si>
    <t>PSM ACT24</t>
  </si>
  <si>
    <t>Inj. Artisunate</t>
  </si>
  <si>
    <t>PSM Inj. Artisunate</t>
  </si>
  <si>
    <t>Local transport for ACT RDT</t>
  </si>
  <si>
    <t>Current HR</t>
  </si>
  <si>
    <t>Pop
Jul 2019</t>
  </si>
  <si>
    <t>Pop
Jul 2020</t>
  </si>
  <si>
    <t>Pop
Jul 2021</t>
  </si>
  <si>
    <t>Pop
Jul 2022</t>
  </si>
  <si>
    <t>Pop
Jul 2023</t>
  </si>
  <si>
    <t>Pop
Jul 2024</t>
  </si>
  <si>
    <t>Pop
Jul 2025</t>
  </si>
  <si>
    <t>Sherpur</t>
  </si>
  <si>
    <t>Mymensingh</t>
  </si>
  <si>
    <t>Netrokona</t>
  </si>
  <si>
    <t>Kurigram</t>
  </si>
  <si>
    <t>4 total</t>
  </si>
  <si>
    <t>Sylhet</t>
  </si>
  <si>
    <t>Hobigonj</t>
  </si>
  <si>
    <t>Sunamganj</t>
  </si>
  <si>
    <t>Moulvibazar</t>
  </si>
  <si>
    <t>Chittagong</t>
  </si>
  <si>
    <t>Coxs Bazar</t>
  </si>
  <si>
    <t>6 Total</t>
  </si>
  <si>
    <t>Khagrachari</t>
  </si>
  <si>
    <t>Rangamati</t>
  </si>
  <si>
    <t>Bandarban</t>
  </si>
  <si>
    <t>CHT Total</t>
  </si>
  <si>
    <t>Continuous</t>
  </si>
  <si>
    <t>Y1 cost</t>
  </si>
  <si>
    <t>Y2 cost</t>
  </si>
  <si>
    <t>Y3 cost</t>
  </si>
  <si>
    <t>3 Yr cost</t>
  </si>
  <si>
    <t>Continuous 5%</t>
  </si>
  <si>
    <t>CHT Universal</t>
  </si>
  <si>
    <t>10 other 3 in 3</t>
  </si>
  <si>
    <t>10 0thers 1 in 3</t>
  </si>
  <si>
    <t>Allocation mass</t>
  </si>
  <si>
    <t>PAAR Mass</t>
  </si>
  <si>
    <t>Pop at-risk in CHT for continuous distribution</t>
  </si>
  <si>
    <t>CTG and Cox'sbazar</t>
  </si>
  <si>
    <t>Total LLIN Rquirement for PAAR:</t>
  </si>
  <si>
    <t>Targeted pop of 10 non-CHT for RDT</t>
  </si>
  <si>
    <t>8 elimination districts of Mymensingh and Sylhet zone</t>
  </si>
  <si>
    <t>2 elimination-targeted districts (CTG and CXB)</t>
  </si>
  <si>
    <t>Fuel</t>
  </si>
  <si>
    <t>Overhead  + communication</t>
  </si>
  <si>
    <t>5 districts</t>
  </si>
  <si>
    <t>8 districts</t>
  </si>
  <si>
    <t>Target for tests in 5 endemic districts</t>
  </si>
  <si>
    <t>Target for tests in 8 endemic districts</t>
  </si>
  <si>
    <t>Domestic mic</t>
  </si>
  <si>
    <t>Domestic RDT</t>
  </si>
  <si>
    <t>Domestic Total</t>
  </si>
  <si>
    <t>Gap mic</t>
  </si>
  <si>
    <t>Gap RDT</t>
  </si>
  <si>
    <t>Gaptotal</t>
  </si>
  <si>
    <t>Population growth rate in 10-non-CHT districts</t>
  </si>
  <si>
    <t>Population growth rate in 8-non-CHT districts</t>
  </si>
  <si>
    <t>Pop at-risk in 8 non-CHT for continuous distribution</t>
  </si>
  <si>
    <t>Pop at-risk in 10 non-CHT for continuous distribution</t>
  </si>
  <si>
    <t>API-13 districts</t>
  </si>
  <si>
    <t>Population 13 districts</t>
  </si>
  <si>
    <t>Cases 13 districts</t>
  </si>
  <si>
    <t>Deaths 13 districts</t>
  </si>
  <si>
    <t>Mortality per 100000 pop</t>
  </si>
  <si>
    <t>Mass Distribution</t>
  </si>
  <si>
    <t>Continuous Distribution</t>
  </si>
  <si>
    <t>Pregnant women</t>
  </si>
  <si>
    <t>School children</t>
  </si>
  <si>
    <t>Other population group</t>
  </si>
  <si>
    <t>Migrants/ refugees/ IDPs</t>
  </si>
  <si>
    <t>Children 0-5</t>
  </si>
  <si>
    <t>Jan - Jun</t>
  </si>
  <si>
    <t>CHT Only</t>
  </si>
  <si>
    <t xml:space="preserve">Predicted total case for 10 districts </t>
  </si>
  <si>
    <t xml:space="preserve">Additional LLIN in PAAR for other risk group </t>
  </si>
  <si>
    <t>LLIN to be procured using GF grant:</t>
  </si>
  <si>
    <t>Allocation - Mass</t>
  </si>
  <si>
    <t>Allocation -Continuous</t>
  </si>
  <si>
    <t>PAAR - Mass</t>
  </si>
  <si>
    <t>PAAR - Continuous</t>
  </si>
  <si>
    <t>Total - Mass</t>
  </si>
  <si>
    <t>Total - Continuous</t>
  </si>
  <si>
    <t>All upazila of 2 districts - Chattogram and Cox's bazar</t>
  </si>
  <si>
    <t>Villages with malaria cases from 2 non-CHT districts (Chattogram and Cox'sbazar) in each of last 3 years, foci from other 8 districts will be covered by continuous distribution</t>
  </si>
  <si>
    <t>Villages with malaria cases from 2 non-CHT districts (Chattogram and Cox'sbazar) in any of last 3 years.</t>
  </si>
  <si>
    <t>Villages with malaria cases from 2 non-CHT districts (Chattogram and Cox'sbazar) in any 2 of last 3 years.</t>
  </si>
  <si>
    <t>Actual</t>
  </si>
  <si>
    <t>3% of total population at risk from CHT and all upazilas of non-CHT districts with cases in any of the last 3 years</t>
  </si>
  <si>
    <t>LLIN required for high priority areas only 2021 onward</t>
  </si>
  <si>
    <t>LLIN required for medium priority areas only 2021 onward</t>
  </si>
  <si>
    <t>LLIN required for low priority areas only 2021 onward</t>
  </si>
  <si>
    <t>National (CHT only), Public and Community wise Quaterly and Six-monthly distribution of parasitological tests: 2018-2020</t>
  </si>
  <si>
    <t>API-10 districts</t>
  </si>
  <si>
    <t>Cases 10 districts</t>
  </si>
  <si>
    <t>Population 10 districts</t>
  </si>
  <si>
    <t>Imported case</t>
  </si>
  <si>
    <t>Indigenous case</t>
  </si>
  <si>
    <t>Imported API</t>
  </si>
  <si>
    <t>Indigenous API</t>
  </si>
  <si>
    <t>If 100% of cases to be investigated</t>
  </si>
  <si>
    <t>Jul-Dec</t>
  </si>
  <si>
    <t xml:space="preserve">6-monthly Case investigation targets </t>
  </si>
  <si>
    <t xml:space="preserve">LLIN distribution - Baseline and target years (to be equally divided in 6-monthly basis) </t>
  </si>
  <si>
    <t>Case Investigation in 10 districts</t>
  </si>
  <si>
    <t>Disaggregation of baseline year</t>
  </si>
  <si>
    <t>2019 disaggregation for continuous distribution</t>
  </si>
  <si>
    <t>NSP Target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</si>
</sst>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0.00_-;\-* #,##0.00_-;_-* &quot;-&quot;??_-;_-@_-"/>
    <numFmt numFmtId="165" formatCode="_-* #,##0_-;\-* #,##0_-;_-* &quot;-&quot;??_-;_-@_-"/>
    <numFmt numFmtId="166" formatCode="0.0%"/>
    <numFmt numFmtId="167" formatCode="_(* #,##0_);_(* \(#,##0\);_(* &quot;-&quot;??_);_(@_)"/>
    <numFmt numFmtId="168" formatCode="0.0000"/>
    <numFmt numFmtId="169" formatCode="_-* #,##0.0_-;\-* #,##0.0_-;_-* &quot;-&quot;??_-;_-@_-"/>
    <numFmt numFmtId="170" formatCode="0.000"/>
    <numFmt numFmtId="171" formatCode="_-* #,##0.0000_-;\-* #,##0.0000_-;_-* &quot;-&quot;??_-;_-@_-"/>
    <numFmt numFmtId="172" formatCode="_-* #,##0.00000_-;\-* #,##0.00000_-;_-* &quot;-&quot;??_-;_-@_-"/>
    <numFmt numFmtId="173" formatCode="_(* #,##0.000_);_(* \(#,##0.000\);_(* &quot;-&quot;??_);_(@_)"/>
    <numFmt numFmtId="174" formatCode="_(* #,##0.0000_);_(* \(#,##0.0000\);_(* &quot;-&quot;??_);_(@_)"/>
  </numFmts>
  <fonts count="5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0"/>
      <name val="Arial"/>
      <family val="2"/>
    </font>
    <font>
      <sz val="10"/>
      <name val="Verdana"/>
      <family val="2"/>
    </font>
    <font>
      <sz val="10"/>
      <name val="Arial"/>
      <family val="2"/>
    </font>
    <font>
      <b/>
      <sz val="10"/>
      <name val="Verdana"/>
      <family val="2"/>
    </font>
    <font>
      <sz val="9"/>
      <color indexed="81"/>
      <name val="Verdana"/>
      <family val="2"/>
    </font>
    <font>
      <u/>
      <sz val="12"/>
      <color theme="10"/>
      <name val="Calibri"/>
      <family val="2"/>
      <scheme val="minor"/>
    </font>
    <font>
      <u/>
      <sz val="12"/>
      <color theme="11"/>
      <name val="Calibri"/>
      <family val="2"/>
      <scheme val="minor"/>
    </font>
    <font>
      <b/>
      <sz val="9"/>
      <color indexed="81"/>
      <name val="Calibri"/>
      <family val="2"/>
    </font>
    <font>
      <sz val="12"/>
      <color rgb="FF0000FF"/>
      <name val="Calibri"/>
      <family val="2"/>
      <scheme val="minor"/>
    </font>
    <font>
      <i/>
      <sz val="10"/>
      <name val="Verdana"/>
      <family val="2"/>
    </font>
    <font>
      <b/>
      <sz val="10"/>
      <color rgb="FFFF0000"/>
      <name val="Arial"/>
      <family val="2"/>
    </font>
    <font>
      <b/>
      <sz val="10"/>
      <color rgb="FF0000FF"/>
      <name val="Arial"/>
      <family val="2"/>
    </font>
    <font>
      <i/>
      <sz val="12"/>
      <color theme="1"/>
      <name val="Calibri"/>
      <family val="2"/>
      <scheme val="minor"/>
    </font>
    <font>
      <b/>
      <sz val="12"/>
      <name val="Calibri"/>
      <family val="2"/>
      <scheme val="minor"/>
    </font>
    <font>
      <b/>
      <sz val="11"/>
      <color theme="1"/>
      <name val="Calibri"/>
      <family val="2"/>
      <scheme val="minor"/>
    </font>
    <font>
      <sz val="11"/>
      <color theme="1"/>
      <name val="Calibri"/>
      <family val="2"/>
      <scheme val="minor"/>
    </font>
    <font>
      <i/>
      <sz val="11"/>
      <color rgb="FFFF0000"/>
      <name val="Calibri"/>
      <family val="2"/>
      <scheme val="minor"/>
    </font>
    <font>
      <sz val="12"/>
      <color indexed="8"/>
      <name val="Times New Roman"/>
      <family val="2"/>
    </font>
    <font>
      <b/>
      <i/>
      <sz val="11"/>
      <color theme="0"/>
      <name val="Calibri"/>
      <family val="2"/>
      <scheme val="minor"/>
    </font>
    <font>
      <i/>
      <sz val="11"/>
      <color theme="0"/>
      <name val="Calibri"/>
      <family val="2"/>
      <scheme val="minor"/>
    </font>
    <font>
      <sz val="11"/>
      <color theme="0"/>
      <name val="Calibri"/>
      <family val="2"/>
      <scheme val="minor"/>
    </font>
    <font>
      <sz val="11"/>
      <name val="Calibri"/>
      <family val="2"/>
      <scheme val="minor"/>
    </font>
    <font>
      <sz val="11"/>
      <color indexed="8"/>
      <name val="Calibri"/>
      <family val="2"/>
      <scheme val="minor"/>
    </font>
    <font>
      <b/>
      <sz val="11"/>
      <name val="Calibri"/>
      <family val="2"/>
      <scheme val="minor"/>
    </font>
    <font>
      <sz val="11"/>
      <color rgb="FF008000"/>
      <name val="Calibri"/>
      <family val="2"/>
      <scheme val="minor"/>
    </font>
    <font>
      <b/>
      <sz val="12"/>
      <color theme="0"/>
      <name val="Calibri"/>
      <family val="2"/>
      <scheme val="minor"/>
    </font>
    <font>
      <b/>
      <sz val="12"/>
      <color rgb="FFFF0000"/>
      <name val="Calibri"/>
      <family val="2"/>
      <scheme val="minor"/>
    </font>
    <font>
      <sz val="12"/>
      <name val="Calibri"/>
      <family val="2"/>
      <scheme val="minor"/>
    </font>
    <font>
      <sz val="12"/>
      <color theme="0"/>
      <name val="Calibri"/>
      <family val="2"/>
      <scheme val="minor"/>
    </font>
    <font>
      <sz val="9"/>
      <color indexed="81"/>
      <name val="Tahoma"/>
      <family val="2"/>
    </font>
    <font>
      <b/>
      <sz val="9"/>
      <color indexed="81"/>
      <name val="Tahoma"/>
      <family val="2"/>
    </font>
    <font>
      <sz val="12"/>
      <color rgb="FF00B050"/>
      <name val="Calibri"/>
      <family val="2"/>
      <scheme val="minor"/>
    </font>
    <font>
      <sz val="12"/>
      <color rgb="FF222222"/>
      <name val="Arial"/>
      <family val="2"/>
    </font>
    <font>
      <i/>
      <sz val="12"/>
      <color rgb="FFFF0000"/>
      <name val="Calibri"/>
      <family val="2"/>
      <scheme val="minor"/>
    </font>
    <font>
      <sz val="16"/>
      <color theme="1"/>
      <name val="Calibri"/>
      <family val="2"/>
      <scheme val="minor"/>
    </font>
    <font>
      <sz val="14"/>
      <color theme="1"/>
      <name val="Calibri"/>
      <family val="2"/>
      <scheme val="minor"/>
    </font>
    <font>
      <b/>
      <sz val="11"/>
      <color rgb="FFFF0000"/>
      <name val="Calibri"/>
      <family val="2"/>
      <scheme val="minor"/>
    </font>
    <font>
      <sz val="10"/>
      <name val="Arial"/>
      <family val="2"/>
    </font>
  </fonts>
  <fills count="22">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rgb="FFFF000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CCFFCC"/>
        <bgColor indexed="64"/>
      </patternFill>
    </fill>
    <fill>
      <patternFill patternType="solid">
        <fgColor rgb="FF800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3"/>
        <bgColor indexed="64"/>
      </patternFill>
    </fill>
    <fill>
      <patternFill patternType="solid">
        <fgColor theme="9" tint="0.39997558519241921"/>
        <bgColor indexed="64"/>
      </patternFill>
    </fill>
    <fill>
      <patternFill patternType="solid">
        <fgColor theme="6"/>
        <bgColor indexed="64"/>
      </patternFill>
    </fill>
    <fill>
      <patternFill patternType="solid">
        <fgColor theme="0"/>
        <bgColor indexed="64"/>
      </patternFill>
    </fill>
    <fill>
      <patternFill patternType="solid">
        <fgColor theme="6" tint="0.39997558519241921"/>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style="medium">
        <color indexed="64"/>
      </right>
      <top/>
      <bottom style="medium">
        <color indexed="64"/>
      </bottom>
      <diagonal/>
    </border>
    <border>
      <left/>
      <right style="thin">
        <color auto="1"/>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270">
    <xf numFmtId="0" fontId="0" fillId="0" borderId="0"/>
    <xf numFmtId="164" fontId="9" fillId="0" borderId="0" applyFont="0" applyFill="0" applyBorder="0" applyAlignment="0" applyProtection="0"/>
    <xf numFmtId="9" fontId="9"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9"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8" fillId="0" borderId="0"/>
    <xf numFmtId="9" fontId="8" fillId="0" borderId="0" applyFont="0" applyFill="0" applyBorder="0" applyAlignment="0" applyProtection="0"/>
    <xf numFmtId="0" fontId="7" fillId="0" borderId="0"/>
    <xf numFmtId="0" fontId="6" fillId="0" borderId="0"/>
    <xf numFmtId="164" fontId="9" fillId="0" borderId="0" applyFont="0" applyFill="0" applyBorder="0" applyAlignment="0" applyProtection="0"/>
    <xf numFmtId="0" fontId="5" fillId="0" borderId="0"/>
    <xf numFmtId="43" fontId="5" fillId="0" borderId="0" applyFont="0" applyFill="0" applyBorder="0" applyAlignment="0" applyProtection="0"/>
    <xf numFmtId="0" fontId="49" fillId="0" borderId="0"/>
    <xf numFmtId="43" fontId="14" fillId="0" borderId="0" applyFont="0" applyFill="0" applyBorder="0" applyAlignment="0" applyProtection="0"/>
    <xf numFmtId="9" fontId="14" fillId="0" borderId="0" applyFont="0" applyFill="0" applyBorder="0" applyAlignment="0" applyProtection="0"/>
  </cellStyleXfs>
  <cellXfs count="410">
    <xf numFmtId="0" fontId="0" fillId="0" borderId="0" xfId="0"/>
    <xf numFmtId="0" fontId="12" fillId="0" borderId="0" xfId="0" applyFont="1" applyAlignment="1">
      <alignment vertical="center"/>
    </xf>
    <xf numFmtId="0" fontId="12" fillId="2" borderId="0" xfId="0" applyFont="1" applyFill="1"/>
    <xf numFmtId="0" fontId="0" fillId="0" borderId="1" xfId="0" applyBorder="1"/>
    <xf numFmtId="9" fontId="0" fillId="0" borderId="1" xfId="0" applyNumberFormat="1" applyBorder="1"/>
    <xf numFmtId="0" fontId="0" fillId="0" borderId="1" xfId="0" applyFill="1" applyBorder="1"/>
    <xf numFmtId="0" fontId="15" fillId="0" borderId="0" xfId="0" applyFont="1"/>
    <xf numFmtId="0" fontId="0" fillId="3" borderId="1" xfId="0" applyFill="1" applyBorder="1"/>
    <xf numFmtId="0" fontId="0" fillId="0" borderId="1" xfId="0" applyBorder="1" applyAlignment="1">
      <alignment horizontal="center"/>
    </xf>
    <xf numFmtId="165" fontId="0" fillId="0" borderId="1" xfId="1" applyNumberFormat="1" applyFont="1" applyBorder="1"/>
    <xf numFmtId="0" fontId="15" fillId="0" borderId="0" xfId="0" applyFont="1" applyFill="1" applyBorder="1"/>
    <xf numFmtId="9" fontId="0" fillId="0" borderId="1" xfId="2" applyFont="1" applyBorder="1"/>
    <xf numFmtId="165" fontId="0" fillId="0" borderId="1" xfId="1" applyNumberFormat="1" applyFont="1" applyFill="1" applyBorder="1"/>
    <xf numFmtId="165" fontId="12" fillId="0" borderId="1" xfId="1" applyNumberFormat="1" applyFont="1" applyFill="1" applyBorder="1"/>
    <xf numFmtId="0" fontId="0" fillId="0" borderId="0" xfId="0" applyBorder="1"/>
    <xf numFmtId="0" fontId="0" fillId="0" borderId="0" xfId="0" applyFill="1" applyBorder="1"/>
    <xf numFmtId="9" fontId="0" fillId="0" borderId="1" xfId="0" applyNumberFormat="1" applyFill="1" applyBorder="1"/>
    <xf numFmtId="165" fontId="0" fillId="0" borderId="0" xfId="0" applyNumberFormat="1"/>
    <xf numFmtId="165" fontId="0" fillId="0" borderId="0" xfId="1" applyNumberFormat="1" applyFont="1" applyBorder="1"/>
    <xf numFmtId="165" fontId="0" fillId="0" borderId="1" xfId="0" applyNumberFormat="1" applyBorder="1"/>
    <xf numFmtId="0" fontId="14" fillId="0" borderId="1" xfId="0" applyFont="1" applyBorder="1" applyAlignment="1">
      <alignment vertical="center"/>
    </xf>
    <xf numFmtId="0" fontId="11" fillId="0" borderId="0" xfId="0" applyFont="1" applyBorder="1"/>
    <xf numFmtId="0" fontId="11" fillId="0" borderId="0" xfId="0" applyFont="1"/>
    <xf numFmtId="0" fontId="0" fillId="4" borderId="1" xfId="0" applyFill="1" applyBorder="1"/>
    <xf numFmtId="0" fontId="0" fillId="0" borderId="0" xfId="0" applyAlignment="1">
      <alignment horizontal="right"/>
    </xf>
    <xf numFmtId="165" fontId="11" fillId="0" borderId="0" xfId="1" applyNumberFormat="1" applyFont="1" applyAlignment="1">
      <alignment horizontal="right"/>
    </xf>
    <xf numFmtId="165" fontId="10" fillId="0" borderId="0" xfId="1" applyNumberFormat="1" applyFont="1"/>
    <xf numFmtId="0" fontId="10" fillId="0" borderId="0" xfId="0" applyFont="1"/>
    <xf numFmtId="169" fontId="0" fillId="0" borderId="0" xfId="1" applyNumberFormat="1" applyFont="1"/>
    <xf numFmtId="165" fontId="0" fillId="0" borderId="0" xfId="1" applyNumberFormat="1" applyFont="1"/>
    <xf numFmtId="164" fontId="0" fillId="0" borderId="0" xfId="1" applyFont="1"/>
    <xf numFmtId="164" fontId="11" fillId="0" borderId="0" xfId="1" applyFont="1"/>
    <xf numFmtId="164" fontId="20" fillId="0" borderId="0" xfId="0" applyNumberFormat="1" applyFont="1"/>
    <xf numFmtId="0" fontId="20" fillId="0" borderId="0" xfId="0" applyFont="1"/>
    <xf numFmtId="0" fontId="0" fillId="0" borderId="0" xfId="0" applyFill="1"/>
    <xf numFmtId="0" fontId="0" fillId="0" borderId="0" xfId="0" applyFill="1" applyAlignment="1">
      <alignment horizontal="right"/>
    </xf>
    <xf numFmtId="0" fontId="0" fillId="6" borderId="0" xfId="0" applyFill="1" applyBorder="1"/>
    <xf numFmtId="9" fontId="0" fillId="0" borderId="1" xfId="2" applyFont="1" applyFill="1" applyBorder="1"/>
    <xf numFmtId="9" fontId="0" fillId="0" borderId="0" xfId="2" applyFont="1"/>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165" fontId="0" fillId="0" borderId="1" xfId="1" applyNumberFormat="1" applyFont="1" applyBorder="1" applyAlignment="1">
      <alignment horizontal="right" vertical="center"/>
    </xf>
    <xf numFmtId="0" fontId="0" fillId="2" borderId="0" xfId="0" applyFill="1"/>
    <xf numFmtId="167" fontId="0" fillId="0" borderId="1" xfId="1" applyNumberFormat="1" applyFont="1" applyBorder="1"/>
    <xf numFmtId="0" fontId="0" fillId="0" borderId="1" xfId="0" applyBorder="1" applyAlignment="1">
      <alignment horizontal="left" vertical="center"/>
    </xf>
    <xf numFmtId="0" fontId="15" fillId="0" borderId="0" xfId="0" applyFont="1" applyBorder="1"/>
    <xf numFmtId="0" fontId="15" fillId="0" borderId="1" xfId="0" applyFont="1" applyBorder="1" applyAlignment="1">
      <alignment horizontal="center" vertical="top"/>
    </xf>
    <xf numFmtId="0" fontId="15" fillId="0" borderId="1" xfId="0" applyFont="1" applyBorder="1" applyAlignment="1">
      <alignment horizontal="center" vertical="top" wrapText="1"/>
    </xf>
    <xf numFmtId="0" fontId="15" fillId="0" borderId="1" xfId="0" applyFont="1" applyFill="1" applyBorder="1" applyAlignment="1">
      <alignment horizontal="center" vertical="top" wrapText="1"/>
    </xf>
    <xf numFmtId="0" fontId="0" fillId="0" borderId="1" xfId="0" applyBorder="1" applyAlignment="1">
      <alignment horizontal="right"/>
    </xf>
    <xf numFmtId="0" fontId="15" fillId="0" borderId="1" xfId="0" applyFont="1" applyFill="1" applyBorder="1"/>
    <xf numFmtId="0" fontId="12" fillId="0" borderId="0" xfId="0" applyFont="1" applyFill="1"/>
    <xf numFmtId="0" fontId="15" fillId="0" borderId="1" xfId="0" applyFont="1" applyFill="1" applyBorder="1" applyAlignment="1">
      <alignment vertical="top"/>
    </xf>
    <xf numFmtId="0" fontId="15" fillId="0" borderId="1" xfId="0" applyFont="1" applyBorder="1" applyAlignment="1">
      <alignment horizontal="left" vertical="top" wrapText="1"/>
    </xf>
    <xf numFmtId="0" fontId="15" fillId="0" borderId="1" xfId="0" applyFont="1" applyBorder="1" applyAlignment="1">
      <alignment vertical="top" wrapText="1"/>
    </xf>
    <xf numFmtId="1" fontId="0" fillId="0" borderId="1" xfId="0" applyNumberFormat="1" applyFill="1" applyBorder="1"/>
    <xf numFmtId="0" fontId="12" fillId="8" borderId="2" xfId="0" applyFont="1" applyFill="1" applyBorder="1" applyAlignment="1"/>
    <xf numFmtId="0" fontId="0" fillId="0" borderId="0" xfId="0" applyAlignment="1">
      <alignment horizontal="center" vertical="center" wrapText="1"/>
    </xf>
    <xf numFmtId="165" fontId="12" fillId="9" borderId="1" xfId="1" applyNumberFormat="1" applyFont="1" applyFill="1" applyBorder="1"/>
    <xf numFmtId="165" fontId="15" fillId="0" borderId="1" xfId="1" applyNumberFormat="1" applyFont="1" applyBorder="1"/>
    <xf numFmtId="0" fontId="15" fillId="8" borderId="0" xfId="0" applyFont="1" applyFill="1"/>
    <xf numFmtId="165" fontId="0" fillId="0" borderId="3" xfId="1" applyNumberFormat="1" applyFont="1" applyFill="1" applyBorder="1"/>
    <xf numFmtId="0" fontId="13" fillId="0" borderId="1" xfId="0" applyFont="1" applyFill="1" applyBorder="1"/>
    <xf numFmtId="0" fontId="11" fillId="2" borderId="0" xfId="0" applyFont="1" applyFill="1"/>
    <xf numFmtId="167" fontId="22" fillId="0" borderId="4" xfId="1" applyNumberFormat="1" applyFont="1" applyFill="1" applyBorder="1" applyAlignment="1">
      <alignment horizontal="center" vertical="center"/>
    </xf>
    <xf numFmtId="165" fontId="11" fillId="0" borderId="0" xfId="1" applyNumberFormat="1" applyFont="1" applyFill="1"/>
    <xf numFmtId="165" fontId="0" fillId="0" borderId="0" xfId="1" applyNumberFormat="1" applyFont="1" applyFill="1"/>
    <xf numFmtId="0" fontId="24" fillId="0" borderId="0" xfId="0" applyFont="1"/>
    <xf numFmtId="165" fontId="24" fillId="0" borderId="0" xfId="1" applyNumberFormat="1" applyFont="1"/>
    <xf numFmtId="165" fontId="23" fillId="0" borderId="0" xfId="1" applyNumberFormat="1" applyFont="1" applyFill="1" applyBorder="1" applyAlignment="1">
      <alignment horizontal="center" vertical="center"/>
    </xf>
    <xf numFmtId="0" fontId="26" fillId="0" borderId="0" xfId="0" applyFont="1"/>
    <xf numFmtId="0" fontId="27" fillId="0" borderId="0" xfId="0" applyFont="1"/>
    <xf numFmtId="0" fontId="28" fillId="0" borderId="0" xfId="0" applyFont="1"/>
    <xf numFmtId="0" fontId="30" fillId="10" borderId="0" xfId="33" applyFont="1" applyFill="1" applyAlignment="1">
      <alignment wrapText="1"/>
    </xf>
    <xf numFmtId="0" fontId="31" fillId="10" borderId="0" xfId="33" applyFont="1" applyFill="1" applyAlignment="1">
      <alignment wrapText="1"/>
    </xf>
    <xf numFmtId="0" fontId="32" fillId="10" borderId="0" xfId="33" applyFont="1" applyFill="1"/>
    <xf numFmtId="2" fontId="33" fillId="0" borderId="0" xfId="33" applyNumberFormat="1" applyFont="1" applyFill="1" applyBorder="1" applyAlignment="1">
      <alignment horizontal="left" vertical="center" wrapText="1"/>
    </xf>
    <xf numFmtId="0" fontId="34" fillId="0" borderId="0" xfId="33" applyFont="1"/>
    <xf numFmtId="2" fontId="33" fillId="0" borderId="0" xfId="33" applyNumberFormat="1" applyFont="1" applyAlignment="1">
      <alignment horizontal="left" vertical="center" wrapText="1"/>
    </xf>
    <xf numFmtId="0" fontId="33" fillId="0" borderId="0" xfId="33" applyFont="1" applyFill="1" applyBorder="1" applyAlignment="1"/>
    <xf numFmtId="0" fontId="34" fillId="0" borderId="0" xfId="33" applyFont="1" applyFill="1"/>
    <xf numFmtId="2" fontId="33" fillId="0" borderId="0" xfId="33" applyNumberFormat="1" applyFont="1" applyFill="1" applyAlignment="1">
      <alignment horizontal="left" vertical="center" wrapText="1"/>
    </xf>
    <xf numFmtId="0" fontId="27" fillId="0" borderId="0" xfId="0" applyFont="1" applyFill="1"/>
    <xf numFmtId="0" fontId="27" fillId="0" borderId="0" xfId="0" applyFont="1" applyAlignment="1"/>
    <xf numFmtId="9" fontId="0" fillId="3" borderId="1" xfId="0" applyNumberFormat="1" applyFill="1" applyBorder="1"/>
    <xf numFmtId="0" fontId="35" fillId="0" borderId="0" xfId="33" applyFont="1" applyFill="1" applyBorder="1"/>
    <xf numFmtId="168" fontId="35" fillId="0" borderId="0" xfId="33" applyNumberFormat="1" applyFont="1" applyFill="1" applyBorder="1" applyAlignment="1">
      <alignment horizontal="right" vertical="center" wrapText="1"/>
    </xf>
    <xf numFmtId="0" fontId="11" fillId="11" borderId="0" xfId="0" applyFont="1" applyFill="1"/>
    <xf numFmtId="9" fontId="0" fillId="0" borderId="0" xfId="0" applyNumberFormat="1"/>
    <xf numFmtId="165" fontId="38" fillId="0" borderId="0" xfId="1" applyNumberFormat="1" applyFont="1"/>
    <xf numFmtId="165" fontId="25" fillId="2" borderId="0" xfId="1" applyNumberFormat="1" applyFont="1" applyFill="1"/>
    <xf numFmtId="165" fontId="10" fillId="0" borderId="0" xfId="0" applyNumberFormat="1" applyFont="1"/>
    <xf numFmtId="0" fontId="37" fillId="12" borderId="0" xfId="0" applyFont="1" applyFill="1"/>
    <xf numFmtId="164" fontId="0" fillId="5" borderId="0" xfId="0" applyNumberFormat="1" applyFill="1"/>
    <xf numFmtId="164" fontId="0" fillId="0" borderId="0" xfId="0" applyNumberFormat="1" applyFill="1"/>
    <xf numFmtId="0" fontId="0" fillId="8" borderId="1" xfId="0" applyFill="1" applyBorder="1" applyAlignment="1">
      <alignment horizontal="right"/>
    </xf>
    <xf numFmtId="0" fontId="0" fillId="8" borderId="1" xfId="0" applyFill="1" applyBorder="1"/>
    <xf numFmtId="0" fontId="11" fillId="0" borderId="0" xfId="0" applyFont="1" applyAlignment="1">
      <alignment horizontal="right"/>
    </xf>
    <xf numFmtId="0" fontId="11" fillId="13" borderId="0" xfId="0" applyFont="1" applyFill="1" applyAlignment="1">
      <alignment horizontal="right"/>
    </xf>
    <xf numFmtId="0" fontId="0" fillId="13" borderId="0" xfId="0" applyFill="1" applyAlignment="1">
      <alignment horizontal="right"/>
    </xf>
    <xf numFmtId="0" fontId="0" fillId="13" borderId="0" xfId="0" applyFill="1"/>
    <xf numFmtId="165" fontId="0" fillId="0" borderId="0" xfId="1" applyNumberFormat="1" applyFont="1" applyFill="1" applyBorder="1"/>
    <xf numFmtId="165" fontId="0" fillId="0" borderId="1" xfId="0" applyNumberFormat="1" applyFill="1" applyBorder="1"/>
    <xf numFmtId="164" fontId="39" fillId="0" borderId="0" xfId="0" applyNumberFormat="1" applyFont="1"/>
    <xf numFmtId="0" fontId="39" fillId="0" borderId="0" xfId="0" applyFont="1"/>
    <xf numFmtId="165" fontId="0" fillId="13" borderId="0" xfId="1" applyNumberFormat="1" applyFont="1" applyFill="1"/>
    <xf numFmtId="10" fontId="35" fillId="0" borderId="0" xfId="2" applyNumberFormat="1" applyFont="1" applyFill="1" applyBorder="1"/>
    <xf numFmtId="0" fontId="13" fillId="0" borderId="0" xfId="0" applyFont="1" applyFill="1" applyBorder="1"/>
    <xf numFmtId="170" fontId="0" fillId="0" borderId="1" xfId="0" applyNumberFormat="1" applyBorder="1"/>
    <xf numFmtId="2" fontId="0" fillId="0" borderId="1" xfId="0" applyNumberFormat="1" applyBorder="1"/>
    <xf numFmtId="0" fontId="11" fillId="0" borderId="0" xfId="0" applyFont="1" applyFill="1"/>
    <xf numFmtId="0" fontId="0" fillId="0" borderId="0" xfId="0" applyFont="1" applyFill="1"/>
    <xf numFmtId="165" fontId="0" fillId="2" borderId="1" xfId="1" applyNumberFormat="1" applyFont="1" applyFill="1" applyBorder="1"/>
    <xf numFmtId="165" fontId="0" fillId="2" borderId="3" xfId="1" applyNumberFormat="1" applyFont="1" applyFill="1" applyBorder="1"/>
    <xf numFmtId="165" fontId="0" fillId="0" borderId="0" xfId="0" applyNumberFormat="1" applyFill="1"/>
    <xf numFmtId="0" fontId="25" fillId="0" borderId="0" xfId="0" applyFont="1" applyFill="1"/>
    <xf numFmtId="0" fontId="39" fillId="0" borderId="0" xfId="0" applyFont="1" applyFill="1"/>
    <xf numFmtId="165" fontId="0" fillId="0" borderId="0" xfId="1" applyNumberFormat="1" applyFont="1" applyAlignment="1">
      <alignment horizontal="right"/>
    </xf>
    <xf numFmtId="165" fontId="39" fillId="0" borderId="0" xfId="1" applyNumberFormat="1" applyFont="1"/>
    <xf numFmtId="164" fontId="0" fillId="0" borderId="0" xfId="1" applyNumberFormat="1" applyFont="1"/>
    <xf numFmtId="2" fontId="0" fillId="0" borderId="0" xfId="0" applyNumberFormat="1" applyAlignment="1">
      <alignment horizontal="right"/>
    </xf>
    <xf numFmtId="171" fontId="20" fillId="0" borderId="0" xfId="0" applyNumberFormat="1" applyFont="1"/>
    <xf numFmtId="172" fontId="20" fillId="0" borderId="0" xfId="0" applyNumberFormat="1" applyFont="1"/>
    <xf numFmtId="0" fontId="39" fillId="0" borderId="0" xfId="0" applyFont="1" applyFill="1" applyAlignment="1">
      <alignment horizontal="right"/>
    </xf>
    <xf numFmtId="165" fontId="0" fillId="2" borderId="0" xfId="1" applyNumberFormat="1" applyFont="1" applyFill="1"/>
    <xf numFmtId="0" fontId="0" fillId="0" borderId="0" xfId="0" applyAlignment="1">
      <alignment horizontal="left" vertical="top" wrapText="1"/>
    </xf>
    <xf numFmtId="0" fontId="36" fillId="0" borderId="0" xfId="0" applyFont="1" applyAlignment="1">
      <alignment horizontal="left" vertical="top" wrapText="1"/>
    </xf>
    <xf numFmtId="0" fontId="37" fillId="12" borderId="1" xfId="0" applyFont="1" applyFill="1" applyBorder="1" applyAlignment="1">
      <alignment horizontal="left" vertical="top" wrapText="1"/>
    </xf>
    <xf numFmtId="165" fontId="0" fillId="14" borderId="1" xfId="1" applyNumberFormat="1" applyFont="1" applyFill="1" applyBorder="1"/>
    <xf numFmtId="0" fontId="25" fillId="2" borderId="0" xfId="0" applyFont="1" applyFill="1"/>
    <xf numFmtId="165" fontId="27" fillId="0" borderId="0" xfId="0" applyNumberFormat="1" applyFont="1"/>
    <xf numFmtId="0" fontId="0" fillId="0" borderId="0" xfId="0" applyAlignment="1">
      <alignment horizontal="right" wrapText="1"/>
    </xf>
    <xf numFmtId="0" fontId="0" fillId="4" borderId="7" xfId="0" applyFill="1" applyBorder="1"/>
    <xf numFmtId="9" fontId="0" fillId="0" borderId="7" xfId="0" applyNumberFormat="1" applyBorder="1"/>
    <xf numFmtId="0" fontId="11" fillId="0" borderId="0" xfId="0" applyFont="1" applyFill="1" applyBorder="1" applyAlignment="1">
      <alignment horizontal="center"/>
    </xf>
    <xf numFmtId="0" fontId="14" fillId="0" borderId="0" xfId="0" applyFont="1" applyBorder="1" applyAlignment="1">
      <alignment horizontal="left" vertical="center"/>
    </xf>
    <xf numFmtId="165" fontId="0" fillId="0" borderId="0" xfId="1" applyNumberFormat="1" applyFont="1" applyBorder="1" applyAlignment="1">
      <alignment horizontal="right" vertical="center"/>
    </xf>
    <xf numFmtId="165" fontId="0" fillId="2" borderId="1" xfId="1" applyNumberFormat="1" applyFont="1" applyFill="1" applyBorder="1" applyAlignment="1">
      <alignment horizontal="right" vertical="center"/>
    </xf>
    <xf numFmtId="1" fontId="0" fillId="0" borderId="1" xfId="0" applyNumberFormat="1" applyBorder="1"/>
    <xf numFmtId="1" fontId="11" fillId="2" borderId="1" xfId="0" applyNumberFormat="1" applyFont="1" applyFill="1" applyBorder="1"/>
    <xf numFmtId="1" fontId="11" fillId="0" borderId="1" xfId="0" applyNumberFormat="1" applyFont="1" applyFill="1" applyBorder="1"/>
    <xf numFmtId="9" fontId="11" fillId="0" borderId="1" xfId="2" applyFont="1" applyBorder="1"/>
    <xf numFmtId="1" fontId="11" fillId="0" borderId="1" xfId="0" applyNumberFormat="1" applyFont="1" applyBorder="1"/>
    <xf numFmtId="0" fontId="0" fillId="0" borderId="0" xfId="0" applyBorder="1" applyAlignment="1">
      <alignment horizontal="center" vertical="center"/>
    </xf>
    <xf numFmtId="9" fontId="0" fillId="0" borderId="0" xfId="0" applyNumberFormat="1" applyBorder="1" applyAlignment="1">
      <alignment horizontal="center" vertical="center"/>
    </xf>
    <xf numFmtId="1" fontId="0" fillId="0" borderId="0" xfId="0" applyNumberFormat="1" applyBorder="1"/>
    <xf numFmtId="1" fontId="11" fillId="0" borderId="0" xfId="0" applyNumberFormat="1" applyFont="1" applyFill="1" applyBorder="1"/>
    <xf numFmtId="1" fontId="0" fillId="0" borderId="0" xfId="0" applyNumberFormat="1" applyFill="1" applyBorder="1"/>
    <xf numFmtId="0" fontId="0" fillId="0" borderId="7" xfId="0" applyBorder="1"/>
    <xf numFmtId="1" fontId="0" fillId="0" borderId="7" xfId="0" applyNumberFormat="1" applyBorder="1"/>
    <xf numFmtId="1" fontId="11" fillId="0" borderId="7" xfId="0" applyNumberFormat="1" applyFont="1" applyFill="1" applyBorder="1"/>
    <xf numFmtId="0" fontId="0" fillId="0" borderId="12" xfId="0" applyBorder="1"/>
    <xf numFmtId="1" fontId="0" fillId="0" borderId="12" xfId="0" applyNumberFormat="1" applyBorder="1"/>
    <xf numFmtId="1" fontId="11" fillId="2" borderId="12" xfId="0" applyNumberFormat="1" applyFont="1" applyFill="1" applyBorder="1"/>
    <xf numFmtId="1" fontId="11" fillId="2" borderId="13" xfId="0" applyNumberFormat="1" applyFont="1" applyFill="1" applyBorder="1"/>
    <xf numFmtId="1" fontId="11" fillId="2" borderId="15" xfId="0" applyNumberFormat="1" applyFont="1" applyFill="1" applyBorder="1"/>
    <xf numFmtId="0" fontId="0" fillId="0" borderId="17" xfId="0" applyBorder="1"/>
    <xf numFmtId="1" fontId="0" fillId="0" borderId="17" xfId="0" applyNumberFormat="1" applyBorder="1"/>
    <xf numFmtId="1" fontId="11" fillId="2" borderId="17" xfId="0" applyNumberFormat="1" applyFont="1" applyFill="1" applyBorder="1"/>
    <xf numFmtId="1" fontId="11" fillId="2" borderId="18" xfId="0" applyNumberFormat="1" applyFont="1" applyFill="1" applyBorder="1"/>
    <xf numFmtId="1" fontId="11" fillId="0" borderId="7" xfId="0" applyNumberFormat="1" applyFont="1" applyBorder="1"/>
    <xf numFmtId="166" fontId="0" fillId="0" borderId="19" xfId="0" applyNumberFormat="1" applyBorder="1" applyAlignment="1">
      <alignment vertical="center"/>
    </xf>
    <xf numFmtId="166" fontId="0" fillId="0" borderId="2" xfId="0" applyNumberFormat="1" applyBorder="1" applyAlignment="1">
      <alignment vertical="center"/>
    </xf>
    <xf numFmtId="166" fontId="0" fillId="0" borderId="20" xfId="0" applyNumberFormat="1" applyBorder="1" applyAlignment="1">
      <alignment vertical="center"/>
    </xf>
    <xf numFmtId="9" fontId="0" fillId="0" borderId="9" xfId="0" applyNumberFormat="1" applyBorder="1" applyAlignment="1">
      <alignment vertical="center"/>
    </xf>
    <xf numFmtId="9" fontId="0" fillId="0" borderId="10" xfId="0" applyNumberFormat="1" applyBorder="1" applyAlignment="1">
      <alignment vertical="center"/>
    </xf>
    <xf numFmtId="0" fontId="0" fillId="0" borderId="1" xfId="0" applyBorder="1" applyAlignment="1">
      <alignment horizontal="left"/>
    </xf>
    <xf numFmtId="167" fontId="0" fillId="13" borderId="0" xfId="1" applyNumberFormat="1" applyFont="1" applyFill="1"/>
    <xf numFmtId="165" fontId="9" fillId="0" borderId="0" xfId="1" applyNumberFormat="1" applyFont="1" applyFill="1"/>
    <xf numFmtId="164" fontId="43" fillId="0" borderId="0" xfId="0" applyNumberFormat="1" applyFont="1"/>
    <xf numFmtId="165" fontId="39" fillId="0" borderId="0" xfId="0" applyNumberFormat="1" applyFont="1"/>
    <xf numFmtId="167" fontId="0" fillId="0" borderId="0" xfId="0" applyNumberFormat="1"/>
    <xf numFmtId="164" fontId="10" fillId="2" borderId="0" xfId="0" applyNumberFormat="1" applyFont="1" applyFill="1" applyAlignment="1">
      <alignment horizontal="left" indent="2"/>
    </xf>
    <xf numFmtId="9" fontId="0" fillId="0" borderId="0" xfId="2" applyNumberFormat="1" applyFont="1" applyFill="1"/>
    <xf numFmtId="9" fontId="0" fillId="0" borderId="1" xfId="2" applyNumberFormat="1" applyFont="1" applyFill="1" applyBorder="1"/>
    <xf numFmtId="0" fontId="15" fillId="0" borderId="1" xfId="0" applyFont="1" applyFill="1" applyBorder="1" applyAlignment="1">
      <alignment wrapText="1"/>
    </xf>
    <xf numFmtId="166" fontId="0" fillId="0" borderId="1" xfId="2" applyNumberFormat="1" applyFont="1" applyFill="1" applyBorder="1"/>
    <xf numFmtId="167" fontId="0" fillId="0" borderId="1" xfId="1" applyNumberFormat="1" applyFont="1" applyFill="1" applyBorder="1"/>
    <xf numFmtId="43" fontId="0" fillId="0" borderId="0" xfId="0" applyNumberFormat="1"/>
    <xf numFmtId="167" fontId="10" fillId="2" borderId="0" xfId="0" applyNumberFormat="1" applyFont="1" applyFill="1"/>
    <xf numFmtId="0" fontId="44" fillId="0" borderId="0" xfId="0" applyFont="1"/>
    <xf numFmtId="165" fontId="11" fillId="0" borderId="0" xfId="1" applyNumberFormat="1" applyFont="1"/>
    <xf numFmtId="0" fontId="43" fillId="0" borderId="0" xfId="0" applyFont="1"/>
    <xf numFmtId="9" fontId="0" fillId="2" borderId="0" xfId="2" applyFont="1" applyFill="1"/>
    <xf numFmtId="43" fontId="0" fillId="0" borderId="0" xfId="1" applyNumberFormat="1" applyFont="1"/>
    <xf numFmtId="0" fontId="0" fillId="0" borderId="0" xfId="0" applyAlignment="1">
      <alignment wrapText="1"/>
    </xf>
    <xf numFmtId="9" fontId="0" fillId="0" borderId="0" xfId="2" applyNumberFormat="1" applyFont="1"/>
    <xf numFmtId="0" fontId="43" fillId="2" borderId="0" xfId="0" applyFont="1" applyFill="1"/>
    <xf numFmtId="165" fontId="24" fillId="2" borderId="0" xfId="1" applyNumberFormat="1" applyFont="1" applyFill="1"/>
    <xf numFmtId="165" fontId="45" fillId="0" borderId="0" xfId="1" applyNumberFormat="1" applyFont="1"/>
    <xf numFmtId="167" fontId="22" fillId="0" borderId="5" xfId="1" applyNumberFormat="1" applyFont="1" applyFill="1" applyBorder="1" applyAlignment="1">
      <alignment horizontal="center" vertical="center"/>
    </xf>
    <xf numFmtId="0" fontId="37" fillId="12" borderId="0" xfId="0" applyFont="1" applyFill="1" applyBorder="1" applyAlignment="1">
      <alignment horizontal="left" vertical="top" wrapText="1"/>
    </xf>
    <xf numFmtId="43" fontId="24" fillId="0" borderId="0" xfId="1" applyNumberFormat="1" applyFont="1"/>
    <xf numFmtId="167" fontId="24" fillId="0" borderId="0" xfId="1" applyNumberFormat="1" applyFont="1"/>
    <xf numFmtId="9" fontId="0" fillId="0" borderId="0" xfId="2" applyFont="1" applyFill="1"/>
    <xf numFmtId="165" fontId="25" fillId="0" borderId="0" xfId="1" applyNumberFormat="1" applyFont="1" applyFill="1"/>
    <xf numFmtId="167" fontId="24" fillId="2" borderId="0" xfId="1" applyNumberFormat="1" applyFont="1" applyFill="1"/>
    <xf numFmtId="43" fontId="24" fillId="2" borderId="0" xfId="1" applyNumberFormat="1" applyFont="1" applyFill="1"/>
    <xf numFmtId="0" fontId="36" fillId="0" borderId="1" xfId="0" applyFont="1" applyBorder="1" applyAlignment="1">
      <alignment horizontal="left" vertical="top" wrapText="1"/>
    </xf>
    <xf numFmtId="0" fontId="0" fillId="0" borderId="1" xfId="0" applyBorder="1" applyAlignment="1">
      <alignment horizontal="left" vertical="top" wrapText="1"/>
    </xf>
    <xf numFmtId="0" fontId="37" fillId="12" borderId="7" xfId="0" applyFont="1" applyFill="1" applyBorder="1" applyAlignment="1">
      <alignment horizontal="left" vertical="top" wrapText="1"/>
    </xf>
    <xf numFmtId="165" fontId="37" fillId="12" borderId="7" xfId="0" applyNumberFormat="1" applyFont="1" applyFill="1" applyBorder="1" applyAlignment="1">
      <alignment horizontal="left" vertical="top" wrapText="1"/>
    </xf>
    <xf numFmtId="0" fontId="11" fillId="0" borderId="0" xfId="0" applyFont="1" applyFill="1" applyBorder="1" applyAlignment="1">
      <alignment horizontal="left" vertical="top" wrapText="1"/>
    </xf>
    <xf numFmtId="165" fontId="10" fillId="0" borderId="0" xfId="0" applyNumberFormat="1" applyFont="1" applyFill="1" applyBorder="1"/>
    <xf numFmtId="0" fontId="37" fillId="0" borderId="0" xfId="0" applyFont="1" applyFill="1"/>
    <xf numFmtId="0" fontId="40" fillId="0" borderId="0" xfId="0" applyFont="1" applyFill="1"/>
    <xf numFmtId="0" fontId="37" fillId="0" borderId="1" xfId="0" applyFont="1" applyFill="1" applyBorder="1"/>
    <xf numFmtId="165" fontId="40" fillId="0" borderId="0" xfId="1" applyNumberFormat="1" applyFont="1" applyFill="1"/>
    <xf numFmtId="0" fontId="0" fillId="0" borderId="0" xfId="0" applyFill="1" applyAlignment="1">
      <alignment horizontal="left" vertical="top" wrapText="1"/>
    </xf>
    <xf numFmtId="0" fontId="40" fillId="0" borderId="0" xfId="0" applyFont="1" applyFill="1" applyAlignment="1"/>
    <xf numFmtId="165" fontId="40" fillId="0" borderId="0" xfId="0" applyNumberFormat="1" applyFont="1" applyFill="1" applyAlignment="1">
      <alignment vertical="center"/>
    </xf>
    <xf numFmtId="165" fontId="40" fillId="0" borderId="0" xfId="0" applyNumberFormat="1" applyFont="1" applyFill="1"/>
    <xf numFmtId="9" fontId="40" fillId="0" borderId="0" xfId="2" applyFont="1" applyFill="1"/>
    <xf numFmtId="0" fontId="40" fillId="0" borderId="16" xfId="0" applyFont="1" applyFill="1" applyBorder="1"/>
    <xf numFmtId="1" fontId="40" fillId="0" borderId="17" xfId="0" applyNumberFormat="1" applyFont="1" applyFill="1" applyBorder="1"/>
    <xf numFmtId="1" fontId="37" fillId="0" borderId="21" xfId="0" applyNumberFormat="1" applyFont="1" applyFill="1" applyBorder="1"/>
    <xf numFmtId="0" fontId="0" fillId="0" borderId="0" xfId="0" applyAlignment="1">
      <alignment horizontal="left" vertical="center" wrapText="1"/>
    </xf>
    <xf numFmtId="0" fontId="0" fillId="0" borderId="0" xfId="0" applyAlignment="1">
      <alignment vertical="center"/>
    </xf>
    <xf numFmtId="0" fontId="0" fillId="4" borderId="1" xfId="0" applyFill="1" applyBorder="1" applyAlignment="1">
      <alignment vertical="center"/>
    </xf>
    <xf numFmtId="0" fontId="0" fillId="0" borderId="1" xfId="0" applyBorder="1" applyAlignment="1">
      <alignment vertical="center"/>
    </xf>
    <xf numFmtId="0" fontId="35" fillId="0" borderId="0" xfId="33" applyFont="1" applyFill="1" applyBorder="1" applyAlignment="1">
      <alignment horizontal="left" vertical="center" wrapText="1"/>
    </xf>
    <xf numFmtId="9" fontId="33" fillId="0" borderId="0" xfId="2" applyFont="1" applyFill="1" applyBorder="1" applyAlignment="1">
      <alignment vertical="center"/>
    </xf>
    <xf numFmtId="0" fontId="34" fillId="0" borderId="0" xfId="33" applyFont="1" applyFill="1" applyAlignment="1">
      <alignment vertical="center"/>
    </xf>
    <xf numFmtId="0" fontId="27" fillId="0" borderId="0" xfId="0" applyFont="1" applyAlignment="1">
      <alignment vertical="center"/>
    </xf>
    <xf numFmtId="0" fontId="36" fillId="0" borderId="0" xfId="33" applyFont="1" applyFill="1" applyBorder="1" applyAlignment="1">
      <alignment horizontal="left" vertical="center" wrapText="1"/>
    </xf>
    <xf numFmtId="10" fontId="33" fillId="0" borderId="0" xfId="2" applyNumberFormat="1" applyFont="1" applyFill="1" applyBorder="1" applyAlignment="1">
      <alignment vertical="center"/>
    </xf>
    <xf numFmtId="0" fontId="36" fillId="0" borderId="0" xfId="0" applyFont="1" applyFill="1" applyAlignment="1">
      <alignment horizontal="left" vertical="center" wrapText="1"/>
    </xf>
    <xf numFmtId="0" fontId="36" fillId="0" borderId="0" xfId="0" applyFont="1" applyAlignment="1">
      <alignment horizontal="left" vertical="center" wrapText="1"/>
    </xf>
    <xf numFmtId="10" fontId="35" fillId="0" borderId="0" xfId="2" applyNumberFormat="1" applyFont="1" applyFill="1" applyBorder="1" applyAlignment="1">
      <alignment vertical="center"/>
    </xf>
    <xf numFmtId="165" fontId="10" fillId="0" borderId="1" xfId="1" applyNumberFormat="1" applyFont="1" applyFill="1" applyBorder="1" applyAlignment="1">
      <alignment vertical="center"/>
    </xf>
    <xf numFmtId="0" fontId="0" fillId="0" borderId="0" xfId="0" applyBorder="1" applyAlignment="1">
      <alignment vertical="center"/>
    </xf>
    <xf numFmtId="165" fontId="10" fillId="0" borderId="7" xfId="1" applyNumberFormat="1" applyFont="1" applyFill="1" applyBorder="1" applyAlignment="1">
      <alignment vertical="center"/>
    </xf>
    <xf numFmtId="165" fontId="11" fillId="0" borderId="1" xfId="0" applyNumberFormat="1" applyFont="1" applyBorder="1" applyAlignment="1">
      <alignment vertical="center"/>
    </xf>
    <xf numFmtId="165" fontId="0" fillId="0" borderId="1" xfId="1" applyNumberFormat="1" applyFont="1" applyBorder="1" applyAlignment="1">
      <alignment vertical="center"/>
    </xf>
    <xf numFmtId="0" fontId="11" fillId="0" borderId="1" xfId="0" applyFont="1" applyBorder="1" applyAlignment="1">
      <alignment horizontal="center" vertical="center"/>
    </xf>
    <xf numFmtId="0" fontId="11" fillId="0" borderId="1" xfId="0" applyFont="1" applyBorder="1" applyAlignment="1">
      <alignment vertical="center"/>
    </xf>
    <xf numFmtId="0" fontId="7" fillId="0" borderId="0" xfId="262"/>
    <xf numFmtId="0" fontId="46" fillId="0" borderId="24" xfId="262" applyFont="1" applyFill="1" applyBorder="1" applyAlignment="1"/>
    <xf numFmtId="0" fontId="46" fillId="0" borderId="6" xfId="262" applyFont="1" applyFill="1" applyBorder="1" applyAlignment="1"/>
    <xf numFmtId="0" fontId="46" fillId="0" borderId="25" xfId="262" applyFont="1" applyFill="1" applyBorder="1" applyAlignment="1"/>
    <xf numFmtId="0" fontId="9" fillId="0" borderId="1" xfId="262" applyFont="1" applyBorder="1" applyAlignment="1">
      <alignment horizontal="center"/>
    </xf>
    <xf numFmtId="0" fontId="9" fillId="0" borderId="1" xfId="262" applyFont="1" applyBorder="1"/>
    <xf numFmtId="0" fontId="9" fillId="0" borderId="2" xfId="262" applyFont="1" applyBorder="1"/>
    <xf numFmtId="0" fontId="9" fillId="0" borderId="1" xfId="262" applyFont="1" applyFill="1" applyBorder="1"/>
    <xf numFmtId="0" fontId="9" fillId="0" borderId="0" xfId="262" applyFont="1"/>
    <xf numFmtId="0" fontId="9" fillId="0" borderId="1" xfId="262" applyFont="1" applyFill="1" applyBorder="1" applyAlignment="1">
      <alignment horizontal="center"/>
    </xf>
    <xf numFmtId="9" fontId="9" fillId="0" borderId="1" xfId="262" applyNumberFormat="1" applyFont="1" applyBorder="1"/>
    <xf numFmtId="1" fontId="0" fillId="0" borderId="1" xfId="0" applyNumberFormat="1" applyBorder="1" applyAlignment="1">
      <alignment vertical="center"/>
    </xf>
    <xf numFmtId="9" fontId="0" fillId="0" borderId="1" xfId="0" applyNumberFormat="1" applyBorder="1" applyAlignment="1">
      <alignment vertical="center"/>
    </xf>
    <xf numFmtId="165" fontId="11" fillId="0" borderId="1" xfId="0" applyNumberFormat="1" applyFont="1" applyBorder="1"/>
    <xf numFmtId="0" fontId="0" fillId="0" borderId="8" xfId="0" applyFill="1" applyBorder="1"/>
    <xf numFmtId="9" fontId="0" fillId="0" borderId="0" xfId="2" applyNumberFormat="1" applyFont="1" applyFill="1" applyBorder="1"/>
    <xf numFmtId="0" fontId="0" fillId="0" borderId="22" xfId="0" applyFill="1" applyBorder="1"/>
    <xf numFmtId="165" fontId="0" fillId="2" borderId="0" xfId="1" applyNumberFormat="1" applyFont="1" applyFill="1" applyBorder="1" applyAlignment="1">
      <alignment horizontal="right" vertical="center"/>
    </xf>
    <xf numFmtId="0" fontId="0" fillId="19" borderId="0" xfId="0" applyFill="1"/>
    <xf numFmtId="167" fontId="0" fillId="19" borderId="0" xfId="0" applyNumberFormat="1" applyFill="1"/>
    <xf numFmtId="165" fontId="0" fillId="19" borderId="0" xfId="0" applyNumberFormat="1" applyFill="1"/>
    <xf numFmtId="0" fontId="11" fillId="19" borderId="0" xfId="0" applyFont="1" applyFill="1"/>
    <xf numFmtId="165" fontId="11" fillId="19" borderId="0" xfId="0" applyNumberFormat="1" applyFont="1" applyFill="1"/>
    <xf numFmtId="167" fontId="11" fillId="19" borderId="0" xfId="0" applyNumberFormat="1" applyFont="1" applyFill="1"/>
    <xf numFmtId="1" fontId="0" fillId="0" borderId="0" xfId="0" applyNumberFormat="1" applyAlignment="1">
      <alignment vertical="center"/>
    </xf>
    <xf numFmtId="1" fontId="0" fillId="0" borderId="0" xfId="0" applyNumberFormat="1"/>
    <xf numFmtId="0" fontId="6" fillId="0" borderId="1" xfId="263" applyBorder="1"/>
    <xf numFmtId="0" fontId="6" fillId="0" borderId="0" xfId="263"/>
    <xf numFmtId="0" fontId="11" fillId="13" borderId="1" xfId="263" applyFont="1" applyFill="1" applyBorder="1" applyAlignment="1">
      <alignment horizontal="right"/>
    </xf>
    <xf numFmtId="0" fontId="6" fillId="8" borderId="1" xfId="263" applyFill="1" applyBorder="1"/>
    <xf numFmtId="0" fontId="6" fillId="13" borderId="1" xfId="263" applyFill="1" applyBorder="1" applyAlignment="1">
      <alignment horizontal="right"/>
    </xf>
    <xf numFmtId="1" fontId="6" fillId="0" borderId="1" xfId="263" applyNumberFormat="1" applyBorder="1"/>
    <xf numFmtId="0" fontId="6" fillId="0" borderId="1" xfId="263" applyBorder="1" applyAlignment="1">
      <alignment horizontal="right"/>
    </xf>
    <xf numFmtId="165" fontId="9" fillId="0" borderId="1" xfId="264" applyNumberFormat="1" applyFont="1" applyFill="1" applyBorder="1"/>
    <xf numFmtId="167" fontId="9" fillId="13" borderId="1" xfId="264" applyNumberFormat="1" applyFont="1" applyFill="1" applyBorder="1"/>
    <xf numFmtId="0" fontId="26" fillId="0" borderId="1" xfId="263" applyFont="1" applyBorder="1" applyAlignment="1">
      <alignment horizontal="right"/>
    </xf>
    <xf numFmtId="1" fontId="26" fillId="0" borderId="1" xfId="263" applyNumberFormat="1" applyFont="1" applyBorder="1"/>
    <xf numFmtId="0" fontId="48" fillId="0" borderId="8" xfId="263" applyFont="1" applyFill="1" applyBorder="1" applyAlignment="1">
      <alignment horizontal="right"/>
    </xf>
    <xf numFmtId="1" fontId="48" fillId="0" borderId="0" xfId="263" applyNumberFormat="1" applyFont="1"/>
    <xf numFmtId="0" fontId="5" fillId="0" borderId="0" xfId="265"/>
    <xf numFmtId="1" fontId="5" fillId="0" borderId="0" xfId="265" applyNumberFormat="1"/>
    <xf numFmtId="2" fontId="5" fillId="0" borderId="0" xfId="265" applyNumberFormat="1"/>
    <xf numFmtId="0" fontId="49" fillId="0" borderId="1" xfId="267" applyBorder="1" applyAlignment="1">
      <alignment vertical="center"/>
    </xf>
    <xf numFmtId="0" fontId="49" fillId="0" borderId="1" xfId="267" applyBorder="1" applyAlignment="1">
      <alignment vertical="center" wrapText="1"/>
    </xf>
    <xf numFmtId="0" fontId="49" fillId="0" borderId="0" xfId="267"/>
    <xf numFmtId="167" fontId="0" fillId="0" borderId="1" xfId="268" applyNumberFormat="1" applyFont="1" applyBorder="1" applyAlignment="1">
      <alignment vertical="center"/>
    </xf>
    <xf numFmtId="167" fontId="0" fillId="0" borderId="0" xfId="268" applyNumberFormat="1" applyFont="1"/>
    <xf numFmtId="167" fontId="49" fillId="0" borderId="0" xfId="267" applyNumberFormat="1"/>
    <xf numFmtId="2" fontId="0" fillId="0" borderId="0" xfId="269" applyNumberFormat="1" applyFont="1"/>
    <xf numFmtId="9" fontId="0" fillId="0" borderId="0" xfId="269" applyFont="1"/>
    <xf numFmtId="43" fontId="0" fillId="0" borderId="0" xfId="0" applyNumberFormat="1" applyAlignment="1">
      <alignment vertical="center"/>
    </xf>
    <xf numFmtId="164" fontId="0" fillId="0" borderId="0" xfId="1" applyFont="1" applyAlignment="1">
      <alignment vertical="center"/>
    </xf>
    <xf numFmtId="165" fontId="0" fillId="20" borderId="1" xfId="1" applyNumberFormat="1" applyFont="1" applyFill="1" applyBorder="1" applyAlignment="1">
      <alignment vertical="center"/>
    </xf>
    <xf numFmtId="0" fontId="0" fillId="2" borderId="0" xfId="0" applyFill="1" applyAlignment="1">
      <alignment vertical="center"/>
    </xf>
    <xf numFmtId="1" fontId="0" fillId="2" borderId="0" xfId="0" applyNumberFormat="1" applyFill="1" applyAlignment="1">
      <alignment vertical="center"/>
    </xf>
    <xf numFmtId="0" fontId="4" fillId="0" borderId="0" xfId="265" applyFont="1"/>
    <xf numFmtId="167" fontId="0" fillId="0" borderId="0" xfId="0" applyNumberFormat="1" applyBorder="1"/>
    <xf numFmtId="167" fontId="0" fillId="0" borderId="0" xfId="269" applyNumberFormat="1" applyFont="1"/>
    <xf numFmtId="165" fontId="0" fillId="0" borderId="0" xfId="1" applyNumberFormat="1" applyFont="1" applyAlignment="1">
      <alignment vertical="center"/>
    </xf>
    <xf numFmtId="165" fontId="0" fillId="0" borderId="0" xfId="0" applyNumberFormat="1" applyAlignment="1">
      <alignment vertical="center"/>
    </xf>
    <xf numFmtId="165" fontId="11" fillId="0" borderId="0" xfId="0" applyNumberFormat="1" applyFont="1"/>
    <xf numFmtId="165" fontId="26" fillId="0" borderId="0" xfId="0" applyNumberFormat="1" applyFont="1"/>
    <xf numFmtId="0" fontId="14" fillId="0" borderId="0" xfId="267" applyFont="1"/>
    <xf numFmtId="0" fontId="3" fillId="0" borderId="0" xfId="265" applyFont="1"/>
    <xf numFmtId="164" fontId="5" fillId="0" borderId="0" xfId="1" applyFont="1"/>
    <xf numFmtId="43" fontId="11" fillId="0" borderId="0" xfId="266" applyFont="1"/>
    <xf numFmtId="9" fontId="0" fillId="0" borderId="0" xfId="2" applyFont="1" applyBorder="1"/>
    <xf numFmtId="165" fontId="0" fillId="0" borderId="7" xfId="1" applyNumberFormat="1" applyFont="1" applyBorder="1"/>
    <xf numFmtId="43" fontId="0" fillId="0" borderId="7" xfId="1" applyNumberFormat="1" applyFont="1" applyBorder="1"/>
    <xf numFmtId="43" fontId="49" fillId="0" borderId="0" xfId="267" applyNumberFormat="1"/>
    <xf numFmtId="0" fontId="2" fillId="0" borderId="0" xfId="0" applyFont="1" applyAlignment="1">
      <alignment vertical="center"/>
    </xf>
    <xf numFmtId="167" fontId="11" fillId="0" borderId="0" xfId="0" applyNumberFormat="1" applyFont="1"/>
    <xf numFmtId="0" fontId="0" fillId="2" borderId="8" xfId="0" applyFill="1" applyBorder="1"/>
    <xf numFmtId="1" fontId="0" fillId="2" borderId="7" xfId="0" applyNumberFormat="1" applyFill="1" applyBorder="1"/>
    <xf numFmtId="1" fontId="26" fillId="0" borderId="0" xfId="263" applyNumberFormat="1" applyFont="1" applyBorder="1"/>
    <xf numFmtId="165" fontId="11" fillId="21" borderId="1" xfId="0" applyNumberFormat="1" applyFont="1" applyFill="1" applyBorder="1" applyAlignment="1">
      <alignment vertical="center"/>
    </xf>
    <xf numFmtId="0" fontId="11" fillId="0" borderId="1" xfId="0" applyFont="1" applyBorder="1"/>
    <xf numFmtId="0" fontId="1" fillId="0" borderId="0" xfId="0" applyFont="1" applyAlignment="1">
      <alignment vertical="center"/>
    </xf>
    <xf numFmtId="165" fontId="34" fillId="0" borderId="27" xfId="33" applyNumberFormat="1" applyFont="1" applyFill="1" applyBorder="1" applyAlignment="1">
      <alignment vertical="center"/>
    </xf>
    <xf numFmtId="165" fontId="34" fillId="0" borderId="28" xfId="33" applyNumberFormat="1" applyFont="1" applyFill="1" applyBorder="1" applyAlignment="1">
      <alignment vertical="center"/>
    </xf>
    <xf numFmtId="1" fontId="34" fillId="0" borderId="0" xfId="33" applyNumberFormat="1" applyFont="1" applyFill="1" applyBorder="1" applyAlignment="1">
      <alignment horizontal="right" vertical="center"/>
    </xf>
    <xf numFmtId="1" fontId="34" fillId="0" borderId="30" xfId="33" applyNumberFormat="1" applyFont="1" applyFill="1" applyBorder="1" applyAlignment="1">
      <alignment horizontal="right" vertical="center"/>
    </xf>
    <xf numFmtId="1" fontId="34" fillId="0" borderId="0" xfId="33" applyNumberFormat="1" applyFont="1" applyFill="1" applyBorder="1" applyAlignment="1">
      <alignment vertical="center"/>
    </xf>
    <xf numFmtId="1" fontId="34" fillId="0" borderId="30" xfId="33" applyNumberFormat="1" applyFont="1" applyFill="1" applyBorder="1" applyAlignment="1">
      <alignment vertical="center"/>
    </xf>
    <xf numFmtId="165" fontId="34" fillId="0" borderId="0" xfId="33" applyNumberFormat="1" applyFont="1" applyFill="1" applyBorder="1" applyAlignment="1">
      <alignment vertical="center"/>
    </xf>
    <xf numFmtId="0" fontId="1" fillId="2" borderId="26" xfId="0" applyFont="1" applyFill="1" applyBorder="1" applyAlignment="1">
      <alignment vertical="center" wrapText="1"/>
    </xf>
    <xf numFmtId="165" fontId="34" fillId="2" borderId="27" xfId="33" applyNumberFormat="1" applyFont="1" applyFill="1" applyBorder="1" applyAlignment="1">
      <alignment vertical="center"/>
    </xf>
    <xf numFmtId="0" fontId="1" fillId="2" borderId="29" xfId="0" applyFont="1" applyFill="1" applyBorder="1" applyAlignment="1">
      <alignment vertical="center" wrapText="1"/>
    </xf>
    <xf numFmtId="1" fontId="34" fillId="2" borderId="0" xfId="33" applyNumberFormat="1" applyFont="1" applyFill="1" applyBorder="1" applyAlignment="1">
      <alignment horizontal="right" vertical="center"/>
    </xf>
    <xf numFmtId="1" fontId="34" fillId="2" borderId="0" xfId="33" applyNumberFormat="1" applyFont="1" applyFill="1" applyBorder="1" applyAlignment="1">
      <alignment vertical="center"/>
    </xf>
    <xf numFmtId="165" fontId="34" fillId="2" borderId="0" xfId="33" applyNumberFormat="1" applyFont="1" applyFill="1" applyBorder="1" applyAlignment="1">
      <alignment vertical="center"/>
    </xf>
    <xf numFmtId="0" fontId="1" fillId="2" borderId="31" xfId="0" applyFont="1" applyFill="1" applyBorder="1" applyAlignment="1">
      <alignment vertical="center" wrapText="1"/>
    </xf>
    <xf numFmtId="165" fontId="34" fillId="2" borderId="32" xfId="33" applyNumberFormat="1" applyFont="1" applyFill="1" applyBorder="1" applyAlignment="1">
      <alignment vertical="center"/>
    </xf>
    <xf numFmtId="165" fontId="27" fillId="0" borderId="0" xfId="1" applyNumberFormat="1" applyFont="1" applyBorder="1" applyAlignment="1">
      <alignment vertical="center"/>
    </xf>
    <xf numFmtId="165" fontId="27" fillId="0" borderId="30" xfId="1" applyNumberFormat="1" applyFont="1" applyBorder="1" applyAlignment="1">
      <alignment vertical="center"/>
    </xf>
    <xf numFmtId="165" fontId="33" fillId="0" borderId="32" xfId="1" applyNumberFormat="1" applyFont="1" applyFill="1" applyBorder="1" applyAlignment="1">
      <alignment horizontal="left" vertical="center" wrapText="1"/>
    </xf>
    <xf numFmtId="165" fontId="34" fillId="0" borderId="21" xfId="1" applyNumberFormat="1" applyFont="1" applyFill="1" applyBorder="1" applyAlignment="1">
      <alignment vertical="center"/>
    </xf>
    <xf numFmtId="165" fontId="33" fillId="0" borderId="0" xfId="1" applyNumberFormat="1" applyFont="1" applyFill="1" applyBorder="1" applyAlignment="1">
      <alignment horizontal="left" vertical="center" wrapText="1"/>
    </xf>
    <xf numFmtId="165" fontId="34" fillId="0" borderId="0" xfId="1" applyNumberFormat="1" applyFont="1" applyFill="1" applyBorder="1" applyAlignment="1">
      <alignment vertical="center"/>
    </xf>
    <xf numFmtId="0" fontId="35" fillId="0" borderId="1" xfId="33" applyFont="1" applyFill="1" applyBorder="1" applyAlignment="1">
      <alignment horizontal="left" vertical="top" wrapText="1"/>
    </xf>
    <xf numFmtId="0" fontId="27" fillId="0" borderId="1" xfId="0" applyFont="1" applyBorder="1"/>
    <xf numFmtId="10" fontId="35" fillId="0" borderId="1" xfId="2" applyNumberFormat="1" applyFont="1" applyFill="1" applyBorder="1"/>
    <xf numFmtId="165" fontId="26" fillId="0" borderId="1" xfId="1" applyNumberFormat="1" applyFont="1" applyBorder="1"/>
    <xf numFmtId="2" fontId="33" fillId="0" borderId="1" xfId="33" applyNumberFormat="1" applyFont="1" applyFill="1" applyBorder="1" applyAlignment="1">
      <alignment horizontal="left" vertical="center" wrapText="1"/>
    </xf>
    <xf numFmtId="168" fontId="35" fillId="0" borderId="1" xfId="33" applyNumberFormat="1" applyFont="1" applyFill="1" applyBorder="1" applyAlignment="1">
      <alignment horizontal="right" vertical="center" wrapText="1"/>
    </xf>
    <xf numFmtId="0" fontId="0" fillId="0" borderId="0" xfId="0" applyAlignment="1">
      <alignment horizontal="center"/>
    </xf>
    <xf numFmtId="0" fontId="48" fillId="0" borderId="0" xfId="263" applyFont="1" applyFill="1" applyBorder="1" applyAlignment="1">
      <alignment horizontal="right"/>
    </xf>
    <xf numFmtId="0" fontId="6" fillId="2" borderId="1" xfId="263" applyFill="1" applyBorder="1" applyAlignment="1">
      <alignment horizontal="right"/>
    </xf>
    <xf numFmtId="1" fontId="26" fillId="2" borderId="1" xfId="263" applyNumberFormat="1" applyFont="1" applyFill="1" applyBorder="1"/>
    <xf numFmtId="1" fontId="26" fillId="2" borderId="0" xfId="263" applyNumberFormat="1" applyFont="1" applyFill="1" applyBorder="1"/>
    <xf numFmtId="0" fontId="1" fillId="2" borderId="1" xfId="263" applyFont="1" applyFill="1" applyBorder="1" applyAlignment="1">
      <alignment horizontal="center"/>
    </xf>
    <xf numFmtId="0" fontId="1" fillId="0" borderId="0" xfId="0" applyFont="1" applyFill="1" applyBorder="1" applyAlignment="1">
      <alignment vertical="center" wrapText="1"/>
    </xf>
    <xf numFmtId="0" fontId="38" fillId="0" borderId="1" xfId="0" applyFont="1" applyBorder="1"/>
    <xf numFmtId="0" fontId="26" fillId="0" borderId="1" xfId="0" applyFont="1" applyBorder="1"/>
    <xf numFmtId="165" fontId="26" fillId="0" borderId="1" xfId="0" applyNumberFormat="1" applyFont="1" applyBorder="1"/>
    <xf numFmtId="0" fontId="11" fillId="0" borderId="0" xfId="0" applyFont="1" applyAlignment="1">
      <alignment horizontal="center" vertical="center"/>
    </xf>
    <xf numFmtId="0" fontId="46" fillId="18" borderId="2" xfId="262" applyFont="1" applyFill="1" applyBorder="1" applyAlignment="1">
      <alignment horizontal="center"/>
    </xf>
    <xf numFmtId="0" fontId="46" fillId="18" borderId="5" xfId="262" applyFont="1" applyFill="1" applyBorder="1" applyAlignment="1">
      <alignment horizontal="center"/>
    </xf>
    <xf numFmtId="0" fontId="46" fillId="18" borderId="3" xfId="262" applyFont="1" applyFill="1" applyBorder="1" applyAlignment="1">
      <alignment horizontal="center"/>
    </xf>
    <xf numFmtId="0" fontId="47" fillId="16" borderId="1" xfId="262" applyFont="1" applyFill="1" applyBorder="1" applyAlignment="1">
      <alignment horizontal="center"/>
    </xf>
    <xf numFmtId="0" fontId="47" fillId="16" borderId="2" xfId="262" applyFont="1" applyFill="1" applyBorder="1" applyAlignment="1">
      <alignment horizontal="center"/>
    </xf>
    <xf numFmtId="0" fontId="9" fillId="0" borderId="7" xfId="262" applyFont="1" applyBorder="1" applyAlignment="1">
      <alignment horizontal="center" vertical="center" wrapText="1"/>
    </xf>
    <xf numFmtId="0" fontId="9" fillId="0" borderId="8" xfId="262" applyFont="1" applyBorder="1" applyAlignment="1">
      <alignment horizontal="center" vertical="center" wrapText="1"/>
    </xf>
    <xf numFmtId="0" fontId="9" fillId="0" borderId="23" xfId="262" applyFont="1" applyBorder="1" applyAlignment="1">
      <alignment horizontal="center" vertical="center" wrapText="1"/>
    </xf>
    <xf numFmtId="0" fontId="9" fillId="0" borderId="7" xfId="262" applyFont="1" applyBorder="1" applyAlignment="1">
      <alignment horizontal="center" wrapText="1"/>
    </xf>
    <xf numFmtId="0" fontId="9" fillId="0" borderId="8" xfId="262" applyFont="1" applyBorder="1" applyAlignment="1">
      <alignment horizontal="center" wrapText="1"/>
    </xf>
    <xf numFmtId="0" fontId="9" fillId="0" borderId="23" xfId="262" applyFont="1" applyBorder="1" applyAlignment="1">
      <alignment horizontal="center" wrapText="1"/>
    </xf>
    <xf numFmtId="0" fontId="38" fillId="2" borderId="6" xfId="0" applyFont="1" applyFill="1" applyBorder="1" applyAlignment="1">
      <alignment horizontal="center" wrapText="1"/>
    </xf>
    <xf numFmtId="0" fontId="6" fillId="0" borderId="1" xfId="263" applyBorder="1" applyAlignment="1">
      <alignment horizont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9" fontId="0" fillId="0" borderId="12" xfId="0" applyNumberFormat="1" applyBorder="1" applyAlignment="1">
      <alignment horizontal="center" vertical="center"/>
    </xf>
    <xf numFmtId="9" fontId="0" fillId="0" borderId="1" xfId="0" applyNumberFormat="1" applyBorder="1" applyAlignment="1">
      <alignment horizontal="center" vertical="center"/>
    </xf>
    <xf numFmtId="9" fontId="0" fillId="0" borderId="17" xfId="0" applyNumberFormat="1" applyBorder="1" applyAlignment="1">
      <alignment horizontal="center" vertical="center"/>
    </xf>
    <xf numFmtId="0" fontId="11" fillId="0" borderId="0" xfId="0" applyFont="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0" fillId="0" borderId="1" xfId="0" applyBorder="1" applyAlignment="1">
      <alignment horizontal="center" vertical="center"/>
    </xf>
    <xf numFmtId="0" fontId="0" fillId="0" borderId="7" xfId="0" applyBorder="1" applyAlignment="1">
      <alignment horizontal="center" vertical="center"/>
    </xf>
    <xf numFmtId="9" fontId="0" fillId="0" borderId="7" xfId="0" applyNumberFormat="1" applyBorder="1" applyAlignment="1">
      <alignment horizontal="center" vertical="center"/>
    </xf>
    <xf numFmtId="0" fontId="0" fillId="0" borderId="8" xfId="0" applyBorder="1" applyAlignment="1">
      <alignment horizontal="center" vertical="center"/>
    </xf>
    <xf numFmtId="0" fontId="37" fillId="17" borderId="0" xfId="0" applyFont="1" applyFill="1" applyAlignment="1">
      <alignment horizontal="center" vertical="top"/>
    </xf>
    <xf numFmtId="0" fontId="11" fillId="0" borderId="1" xfId="0" applyFont="1" applyBorder="1" applyAlignment="1">
      <alignment horizontal="right" vertical="center"/>
    </xf>
    <xf numFmtId="0" fontId="37" fillId="12" borderId="0" xfId="0" applyFont="1" applyFill="1" applyBorder="1" applyAlignment="1">
      <alignment horizontal="right" vertical="center"/>
    </xf>
    <xf numFmtId="0" fontId="37" fillId="12" borderId="22" xfId="0" applyFont="1" applyFill="1" applyBorder="1" applyAlignment="1">
      <alignment horizontal="right" vertical="center"/>
    </xf>
    <xf numFmtId="0" fontId="37" fillId="7" borderId="0" xfId="0" applyFont="1" applyFill="1" applyBorder="1" applyAlignment="1">
      <alignment horizontal="right" vertical="center"/>
    </xf>
    <xf numFmtId="0" fontId="37" fillId="7" borderId="22" xfId="0" applyFont="1" applyFill="1" applyBorder="1" applyAlignment="1">
      <alignment horizontal="right" vertical="center"/>
    </xf>
    <xf numFmtId="0" fontId="37" fillId="15" borderId="0" xfId="0" applyFont="1" applyFill="1" applyBorder="1" applyAlignment="1">
      <alignment horizontal="right" vertical="center"/>
    </xf>
    <xf numFmtId="0" fontId="37" fillId="15" borderId="22" xfId="0" applyFont="1" applyFill="1" applyBorder="1" applyAlignment="1">
      <alignment horizontal="right" vertical="center"/>
    </xf>
    <xf numFmtId="0" fontId="25" fillId="2" borderId="0" xfId="0" applyFont="1" applyFill="1" applyBorder="1" applyAlignment="1">
      <alignment horizontal="right" vertical="center"/>
    </xf>
    <xf numFmtId="0" fontId="25" fillId="2" borderId="22" xfId="0" applyFont="1" applyFill="1" applyBorder="1" applyAlignment="1">
      <alignment horizontal="right" vertical="center"/>
    </xf>
    <xf numFmtId="0" fontId="0" fillId="8" borderId="2" xfId="0" applyFill="1" applyBorder="1" applyAlignment="1">
      <alignment horizontal="center"/>
    </xf>
    <xf numFmtId="0" fontId="0" fillId="8" borderId="5" xfId="0" applyFill="1" applyBorder="1" applyAlignment="1">
      <alignment horizontal="center"/>
    </xf>
    <xf numFmtId="0" fontId="0" fillId="8" borderId="3" xfId="0" applyFill="1" applyBorder="1" applyAlignment="1">
      <alignment horizontal="center"/>
    </xf>
    <xf numFmtId="0" fontId="27" fillId="14" borderId="2" xfId="0" applyFont="1" applyFill="1" applyBorder="1" applyAlignment="1">
      <alignment horizontal="center"/>
    </xf>
    <xf numFmtId="0" fontId="27" fillId="14" borderId="5" xfId="0" applyFont="1" applyFill="1" applyBorder="1" applyAlignment="1">
      <alignment horizontal="center"/>
    </xf>
    <xf numFmtId="0" fontId="27" fillId="14" borderId="3" xfId="0" applyFont="1" applyFill="1" applyBorder="1" applyAlignment="1">
      <alignment horizontal="center"/>
    </xf>
    <xf numFmtId="0" fontId="28" fillId="0" borderId="0" xfId="0" applyFont="1" applyAlignment="1">
      <alignment horizontal="center"/>
    </xf>
    <xf numFmtId="0" fontId="11" fillId="0" borderId="0" xfId="0" applyFont="1" applyAlignment="1">
      <alignment horizontal="center" wrapText="1"/>
    </xf>
    <xf numFmtId="165" fontId="0" fillId="2" borderId="0" xfId="1" applyNumberFormat="1" applyFont="1" applyFill="1" applyAlignment="1">
      <alignment vertical="center"/>
    </xf>
    <xf numFmtId="0" fontId="0" fillId="0" borderId="0" xfId="0" applyAlignment="1">
      <alignment vertical="center" wrapText="1"/>
    </xf>
    <xf numFmtId="43" fontId="0" fillId="2" borderId="0" xfId="0" applyNumberFormat="1" applyFill="1" applyAlignment="1">
      <alignmen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165" fontId="0" fillId="0" borderId="0" xfId="1" applyNumberFormat="1" applyFont="1" applyBorder="1" applyAlignment="1">
      <alignmen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23" xfId="0" applyBorder="1" applyAlignment="1">
      <alignment horizontal="center" vertical="center" wrapText="1"/>
    </xf>
    <xf numFmtId="9" fontId="0" fillId="0" borderId="0" xfId="0" applyNumberFormat="1" applyAlignment="1">
      <alignment vertical="center"/>
    </xf>
    <xf numFmtId="174" fontId="0" fillId="0" borderId="1" xfId="0" applyNumberFormat="1" applyBorder="1" applyAlignment="1">
      <alignment vertical="center"/>
    </xf>
    <xf numFmtId="173" fontId="0" fillId="0" borderId="0" xfId="0" applyNumberFormat="1" applyAlignment="1">
      <alignment vertical="center"/>
    </xf>
  </cellXfs>
  <cellStyles count="270">
    <cellStyle name="Comma" xfId="1" builtinId="3"/>
    <cellStyle name="Comma 2" xfId="264"/>
    <cellStyle name="Comma 3" xfId="266"/>
    <cellStyle name="Comma 4" xfId="268"/>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Normal" xfId="0" builtinId="0"/>
    <cellStyle name="Normal 2" xfId="260"/>
    <cellStyle name="Normal 3" xfId="262"/>
    <cellStyle name="Normal 4" xfId="263"/>
    <cellStyle name="Normal 5" xfId="265"/>
    <cellStyle name="Normal 6" xfId="33"/>
    <cellStyle name="Normal 7" xfId="267"/>
    <cellStyle name="Percent" xfId="2" builtinId="5"/>
    <cellStyle name="Percent 2" xfId="261"/>
    <cellStyle name="Percent 3" xfId="26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100" b="1"/>
            </a:pPr>
            <a:r>
              <a:rPr lang="en-US" sz="1100" b="1"/>
              <a:t>Malaria</a:t>
            </a:r>
            <a:r>
              <a:rPr lang="en-US" sz="1100" b="1" baseline="0"/>
              <a:t> mortality rate </a:t>
            </a:r>
            <a:r>
              <a:rPr lang="en-US" sz="1100" b="1"/>
              <a:t>by year (actual to 2015-16 and predicted thereafter) </a:t>
            </a:r>
          </a:p>
        </c:rich>
      </c:tx>
      <c:layout/>
      <c:overlay val="0"/>
    </c:title>
    <c:autoTitleDeleted val="0"/>
    <c:plotArea>
      <c:layout/>
      <c:lineChart>
        <c:grouping val="standard"/>
        <c:varyColors val="0"/>
        <c:ser>
          <c:idx val="0"/>
          <c:order val="0"/>
          <c:spPr>
            <a:ln w="12700">
              <a:solidFill>
                <a:schemeClr val="bg1">
                  <a:lumMod val="50000"/>
                </a:schemeClr>
              </a:solidFill>
            </a:ln>
          </c:spPr>
          <c:marker>
            <c:symbol val="circle"/>
            <c:size val="5"/>
            <c:spPr>
              <a:solidFill>
                <a:schemeClr val="tx1"/>
              </a:solidFill>
            </c:spPr>
          </c:marker>
          <c:dPt>
            <c:idx val="8"/>
            <c:bubble3D val="0"/>
            <c:extLst xmlns:c16r2="http://schemas.microsoft.com/office/drawing/2015/06/chart">
              <c:ext xmlns:c16="http://schemas.microsoft.com/office/drawing/2014/chart" uri="{C3380CC4-5D6E-409C-BE32-E72D297353CC}">
                <c16:uniqueId val="{00000000-1FC1-41E2-B2D5-4262B7F737B8}"/>
              </c:ext>
            </c:extLst>
          </c:dPt>
          <c:dPt>
            <c:idx val="9"/>
            <c:marker>
              <c:spPr>
                <a:solidFill>
                  <a:srgbClr val="FF0000"/>
                </a:solidFill>
              </c:spPr>
            </c:marker>
            <c:bubble3D val="0"/>
            <c:extLst xmlns:c16r2="http://schemas.microsoft.com/office/drawing/2015/06/chart">
              <c:ext xmlns:c16="http://schemas.microsoft.com/office/drawing/2014/chart" uri="{C3380CC4-5D6E-409C-BE32-E72D297353CC}">
                <c16:uniqueId val="{00000001-1FC1-41E2-B2D5-4262B7F737B8}"/>
              </c:ext>
            </c:extLst>
          </c:dPt>
          <c:dPt>
            <c:idx val="10"/>
            <c:marker>
              <c:spPr>
                <a:solidFill>
                  <a:srgbClr val="FF0000"/>
                </a:solidFill>
              </c:spPr>
            </c:marker>
            <c:bubble3D val="0"/>
            <c:extLst xmlns:c16r2="http://schemas.microsoft.com/office/drawing/2015/06/chart">
              <c:ext xmlns:c16="http://schemas.microsoft.com/office/drawing/2014/chart" uri="{C3380CC4-5D6E-409C-BE32-E72D297353CC}">
                <c16:uniqueId val="{00000002-1FC1-41E2-B2D5-4262B7F737B8}"/>
              </c:ext>
            </c:extLst>
          </c:dPt>
          <c:dPt>
            <c:idx val="11"/>
            <c:marker>
              <c:spPr>
                <a:solidFill>
                  <a:srgbClr val="FF0000"/>
                </a:solidFill>
              </c:spPr>
            </c:marker>
            <c:bubble3D val="0"/>
            <c:extLst xmlns:c16r2="http://schemas.microsoft.com/office/drawing/2015/06/chart">
              <c:ext xmlns:c16="http://schemas.microsoft.com/office/drawing/2014/chart" uri="{C3380CC4-5D6E-409C-BE32-E72D297353CC}">
                <c16:uniqueId val="{00000003-1FC1-41E2-B2D5-4262B7F737B8}"/>
              </c:ext>
            </c:extLst>
          </c:dPt>
          <c:dPt>
            <c:idx val="12"/>
            <c:marker>
              <c:spPr>
                <a:solidFill>
                  <a:srgbClr val="FF0000"/>
                </a:solidFill>
              </c:spPr>
            </c:marker>
            <c:bubble3D val="0"/>
            <c:extLst xmlns:c16r2="http://schemas.microsoft.com/office/drawing/2015/06/chart">
              <c:ext xmlns:c16="http://schemas.microsoft.com/office/drawing/2014/chart" uri="{C3380CC4-5D6E-409C-BE32-E72D297353CC}">
                <c16:uniqueId val="{00000004-1FC1-41E2-B2D5-4262B7F737B8}"/>
              </c:ext>
            </c:extLst>
          </c:dPt>
          <c:dPt>
            <c:idx val="13"/>
            <c:marker>
              <c:spPr>
                <a:solidFill>
                  <a:srgbClr val="FF0000"/>
                </a:solidFill>
              </c:spPr>
            </c:marker>
            <c:bubble3D val="0"/>
            <c:extLst xmlns:c16r2="http://schemas.microsoft.com/office/drawing/2015/06/chart">
              <c:ext xmlns:c16="http://schemas.microsoft.com/office/drawing/2014/chart" uri="{C3380CC4-5D6E-409C-BE32-E72D297353CC}">
                <c16:uniqueId val="{00000005-1FC1-41E2-B2D5-4262B7F737B8}"/>
              </c:ext>
            </c:extLst>
          </c:dPt>
          <c:dPt>
            <c:idx val="14"/>
            <c:marker>
              <c:spPr>
                <a:solidFill>
                  <a:srgbClr val="FF0000"/>
                </a:solidFill>
              </c:spPr>
            </c:marker>
            <c:bubble3D val="0"/>
            <c:extLst xmlns:c16r2="http://schemas.microsoft.com/office/drawing/2015/06/chart">
              <c:ext xmlns:c16="http://schemas.microsoft.com/office/drawing/2014/chart" uri="{C3380CC4-5D6E-409C-BE32-E72D297353CC}">
                <c16:uniqueId val="{00000006-1FC1-41E2-B2D5-4262B7F737B8}"/>
              </c:ext>
            </c:extLst>
          </c:dPt>
          <c:dPt>
            <c:idx val="15"/>
            <c:marker>
              <c:spPr>
                <a:solidFill>
                  <a:srgbClr val="FF0000"/>
                </a:solidFill>
              </c:spPr>
            </c:marker>
            <c:bubble3D val="0"/>
            <c:extLst xmlns:c16r2="http://schemas.microsoft.com/office/drawing/2015/06/chart">
              <c:ext xmlns:c16="http://schemas.microsoft.com/office/drawing/2014/chart" uri="{C3380CC4-5D6E-409C-BE32-E72D297353CC}">
                <c16:uniqueId val="{00000007-1FC1-41E2-B2D5-4262B7F737B8}"/>
              </c:ext>
            </c:extLst>
          </c:dPt>
          <c:dPt>
            <c:idx val="16"/>
            <c:marker>
              <c:spPr>
                <a:solidFill>
                  <a:srgbClr val="FF0000"/>
                </a:solidFill>
              </c:spPr>
            </c:marker>
            <c:bubble3D val="0"/>
            <c:extLst xmlns:c16r2="http://schemas.microsoft.com/office/drawing/2015/06/chart">
              <c:ext xmlns:c16="http://schemas.microsoft.com/office/drawing/2014/chart" uri="{C3380CC4-5D6E-409C-BE32-E72D297353CC}">
                <c16:uniqueId val="{00000008-1FC1-41E2-B2D5-4262B7F737B8}"/>
              </c:ext>
            </c:extLst>
          </c:dPt>
          <c:dPt>
            <c:idx val="17"/>
            <c:marker>
              <c:spPr>
                <a:solidFill>
                  <a:srgbClr val="FF0000"/>
                </a:solidFill>
              </c:spPr>
            </c:marker>
            <c:bubble3D val="0"/>
            <c:extLst xmlns:c16r2="http://schemas.microsoft.com/office/drawing/2015/06/chart">
              <c:ext xmlns:c16="http://schemas.microsoft.com/office/drawing/2014/chart" uri="{C3380CC4-5D6E-409C-BE32-E72D297353CC}">
                <c16:uniqueId val="{00000009-1FC1-41E2-B2D5-4262B7F737B8}"/>
              </c:ext>
            </c:extLst>
          </c:dPt>
          <c:dPt>
            <c:idx val="18"/>
            <c:marker>
              <c:spPr>
                <a:solidFill>
                  <a:srgbClr val="FF0000"/>
                </a:solidFill>
              </c:spPr>
            </c:marker>
            <c:bubble3D val="0"/>
            <c:extLst xmlns:c16r2="http://schemas.microsoft.com/office/drawing/2015/06/chart">
              <c:ext xmlns:c16="http://schemas.microsoft.com/office/drawing/2014/chart" uri="{C3380CC4-5D6E-409C-BE32-E72D297353CC}">
                <c16:uniqueId val="{0000000A-1FC1-41E2-B2D5-4262B7F737B8}"/>
              </c:ext>
            </c:extLst>
          </c:dPt>
          <c:dPt>
            <c:idx val="19"/>
            <c:marker>
              <c:spPr>
                <a:solidFill>
                  <a:srgbClr val="FF0000"/>
                </a:solidFill>
              </c:spPr>
            </c:marker>
            <c:bubble3D val="0"/>
            <c:extLst xmlns:c16r2="http://schemas.microsoft.com/office/drawing/2015/06/chart">
              <c:ext xmlns:c16="http://schemas.microsoft.com/office/drawing/2014/chart" uri="{C3380CC4-5D6E-409C-BE32-E72D297353CC}">
                <c16:uniqueId val="{0000000B-1FC1-41E2-B2D5-4262B7F737B8}"/>
              </c:ext>
            </c:extLst>
          </c:dPt>
          <c:dPt>
            <c:idx val="20"/>
            <c:marker>
              <c:spPr>
                <a:solidFill>
                  <a:srgbClr val="FF0000"/>
                </a:solidFill>
              </c:spPr>
            </c:marker>
            <c:bubble3D val="0"/>
            <c:extLst xmlns:c16r2="http://schemas.microsoft.com/office/drawing/2015/06/chart">
              <c:ext xmlns:c16="http://schemas.microsoft.com/office/drawing/2014/chart" uri="{C3380CC4-5D6E-409C-BE32-E72D297353CC}">
                <c16:uniqueId val="{0000000C-1FC1-41E2-B2D5-4262B7F737B8}"/>
              </c:ext>
            </c:extLst>
          </c:dPt>
          <c:dPt>
            <c:idx val="21"/>
            <c:marker>
              <c:spPr>
                <a:solidFill>
                  <a:srgbClr val="FF0000"/>
                </a:solidFill>
              </c:spPr>
            </c:marker>
            <c:bubble3D val="0"/>
            <c:extLst xmlns:c16r2="http://schemas.microsoft.com/office/drawing/2015/06/chart">
              <c:ext xmlns:c16="http://schemas.microsoft.com/office/drawing/2014/chart" uri="{C3380CC4-5D6E-409C-BE32-E72D297353CC}">
                <c16:uniqueId val="{0000000D-1FC1-41E2-B2D5-4262B7F737B8}"/>
              </c:ext>
            </c:extLst>
          </c:dPt>
          <c:dPt>
            <c:idx val="22"/>
            <c:marker>
              <c:spPr>
                <a:solidFill>
                  <a:srgbClr val="FF0000"/>
                </a:solidFill>
              </c:spPr>
            </c:marker>
            <c:bubble3D val="0"/>
            <c:extLst xmlns:c16r2="http://schemas.microsoft.com/office/drawing/2015/06/chart">
              <c:ext xmlns:c16="http://schemas.microsoft.com/office/drawing/2014/chart" uri="{C3380CC4-5D6E-409C-BE32-E72D297353CC}">
                <c16:uniqueId val="{0000000E-1FC1-41E2-B2D5-4262B7F737B8}"/>
              </c:ext>
            </c:extLst>
          </c:dPt>
          <c:val>
            <c:numRef>
              <c:f>API!$C$55:$Y$55</c:f>
              <c:numCache>
                <c:formatCode>0.00</c:formatCode>
                <c:ptCount val="23"/>
                <c:pt idx="0">
                  <c:v>1.0296031507829504</c:v>
                </c:pt>
                <c:pt idx="1">
                  <c:v>0.30961035889560218</c:v>
                </c:pt>
                <c:pt idx="2">
                  <c:v>0.24015289797731837</c:v>
                </c:pt>
                <c:pt idx="3">
                  <c:v>0.23022744361010447</c:v>
                </c:pt>
                <c:pt idx="4">
                  <c:v>6.9313169502205424E-2</c:v>
                </c:pt>
                <c:pt idx="5">
                  <c:v>9.3148672920171802E-2</c:v>
                </c:pt>
                <c:pt idx="6">
                  <c:v>0.27539767296788747</c:v>
                </c:pt>
                <c:pt idx="7">
                  <c:v>5.4281595144946779E-2</c:v>
                </c:pt>
                <c:pt idx="8">
                  <c:v>9.1324200913242018E-2</c:v>
                </c:pt>
                <c:pt idx="9">
                  <c:v>7.3033707865168537E-2</c:v>
                </c:pt>
                <c:pt idx="10">
                  <c:v>3.316749585406302E-2</c:v>
                </c:pt>
                <c:pt idx="11">
                  <c:v>4.8025613660619006E-2</c:v>
                </c:pt>
                <c:pt idx="12" formatCode="_-* #,##0.00_-;\-* #,##0.00_-;_-* &quot;-&quot;??_-;_-@_-">
                  <c:v>4.0157480314960629E-2</c:v>
                </c:pt>
                <c:pt idx="13" formatCode="_-* #,##0.00_-;\-* #,##0.00_-;_-* &quot;-&quot;??_-;_-@_-">
                  <c:v>3.3569953536396482E-2</c:v>
                </c:pt>
                <c:pt idx="14" formatCode="_-* #,##0.00_-;\-* #,##0.00_-;_-* &quot;-&quot;??_-;_-@_-">
                  <c:v>2.5164575926866429E-2</c:v>
                </c:pt>
                <c:pt idx="15" formatCode="_-* #,##0.00_-;\-* #,##0.00_-;_-* &quot;-&quot;??_-;_-@_-">
                  <c:v>1.5139300349475786E-2</c:v>
                </c:pt>
                <c:pt idx="16" formatCode="_-* #,##0.00_-;\-* #,##0.00_-;_-* &quot;-&quot;??_-;_-@_-">
                  <c:v>6.8930292317510725E-3</c:v>
                </c:pt>
                <c:pt idx="17" formatCode="_-* #,##0.00_-;\-* #,##0.00_-;_-* &quot;-&quot;??_-;_-@_-">
                  <c:v>2.1194689270782833E-3</c:v>
                </c:pt>
                <c:pt idx="18" formatCode="_-* #,##0.0000_-;\-* #,##0.0000_-;_-* &quot;-&quot;??_-;_-@_-">
                  <c:v>0</c:v>
                </c:pt>
                <c:pt idx="19" formatCode="_-* #,##0.0000_-;\-* #,##0.0000_-;_-* &quot;-&quot;??_-;_-@_-">
                  <c:v>0</c:v>
                </c:pt>
                <c:pt idx="20" formatCode="_-* #,##0.00000_-;\-* #,##0.00000_-;_-* &quot;-&quot;??_-;_-@_-">
                  <c:v>0</c:v>
                </c:pt>
                <c:pt idx="21" formatCode="_-* #,##0.00000_-;\-* #,##0.00000_-;_-* &quot;-&quot;??_-;_-@_-">
                  <c:v>0</c:v>
                </c:pt>
                <c:pt idx="22" formatCode="_-* #,##0.00000_-;\-* #,##0.00000_-;_-* &quot;-&quot;??_-;_-@_-">
                  <c:v>0</c:v>
                </c:pt>
              </c:numCache>
            </c:numRef>
          </c:val>
          <c:smooth val="0"/>
          <c:extLst xmlns:c16r2="http://schemas.microsoft.com/office/drawing/2015/06/chart">
            <c:ext xmlns:c16="http://schemas.microsoft.com/office/drawing/2014/chart" uri="{C3380CC4-5D6E-409C-BE32-E72D297353CC}">
              <c16:uniqueId val="{0000000F-1FC1-41E2-B2D5-4262B7F737B8}"/>
            </c:ext>
          </c:extLst>
        </c:ser>
        <c:dLbls>
          <c:showLegendKey val="0"/>
          <c:showVal val="0"/>
          <c:showCatName val="0"/>
          <c:showSerName val="0"/>
          <c:showPercent val="0"/>
          <c:showBubbleSize val="0"/>
        </c:dLbls>
        <c:marker val="1"/>
        <c:smooth val="0"/>
        <c:axId val="-1259228560"/>
        <c:axId val="-1259216048"/>
      </c:lineChart>
      <c:catAx>
        <c:axId val="-1259228560"/>
        <c:scaling>
          <c:orientation val="minMax"/>
        </c:scaling>
        <c:delete val="0"/>
        <c:axPos val="b"/>
        <c:majorTickMark val="out"/>
        <c:minorTickMark val="none"/>
        <c:tickLblPos val="nextTo"/>
        <c:crossAx val="-1259216048"/>
        <c:crosses val="autoZero"/>
        <c:auto val="1"/>
        <c:lblAlgn val="ctr"/>
        <c:lblOffset val="100"/>
        <c:noMultiLvlLbl val="0"/>
      </c:catAx>
      <c:valAx>
        <c:axId val="-1259216048"/>
        <c:scaling>
          <c:orientation val="minMax"/>
        </c:scaling>
        <c:delete val="0"/>
        <c:axPos val="l"/>
        <c:majorGridlines/>
        <c:numFmt formatCode="0.00" sourceLinked="1"/>
        <c:majorTickMark val="out"/>
        <c:minorTickMark val="none"/>
        <c:tickLblPos val="nextTo"/>
        <c:crossAx val="-1259228560"/>
        <c:crosses val="autoZero"/>
        <c:crossBetween val="between"/>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Malaria cases by year (actual to 2019 and predicted thereafter) </a:t>
            </a:r>
          </a:p>
        </c:rich>
      </c:tx>
      <c:layout/>
      <c:overlay val="0"/>
    </c:title>
    <c:autoTitleDeleted val="0"/>
    <c:plotArea>
      <c:layout/>
      <c:lineChart>
        <c:grouping val="standard"/>
        <c:varyColors val="0"/>
        <c:ser>
          <c:idx val="0"/>
          <c:order val="0"/>
          <c:tx>
            <c:strRef>
              <c:f>API!$B$4</c:f>
              <c:strCache>
                <c:ptCount val="1"/>
                <c:pt idx="0">
                  <c:v>Malaria cases by year (actual to 2019 and predicted thereafter) 
</c:v>
                </c:pt>
              </c:strCache>
            </c:strRef>
          </c:tx>
          <c:dPt>
            <c:idx val="0"/>
            <c:marker>
              <c:spPr>
                <a:solidFill>
                  <a:srgbClr val="92D050"/>
                </a:solidFill>
              </c:spPr>
            </c:marker>
            <c:bubble3D val="0"/>
            <c:extLst xmlns:c16r2="http://schemas.microsoft.com/office/drawing/2015/06/chart">
              <c:ext xmlns:c16="http://schemas.microsoft.com/office/drawing/2014/chart" uri="{C3380CC4-5D6E-409C-BE32-E72D297353CC}">
                <c16:uniqueId val="{00000000-7655-4B93-828A-0B0A896F0BE5}"/>
              </c:ext>
            </c:extLst>
          </c:dPt>
          <c:dPt>
            <c:idx val="1"/>
            <c:marker>
              <c:spPr>
                <a:solidFill>
                  <a:srgbClr val="92D050"/>
                </a:solidFill>
              </c:spPr>
            </c:marker>
            <c:bubble3D val="0"/>
            <c:extLst xmlns:c16r2="http://schemas.microsoft.com/office/drawing/2015/06/chart">
              <c:ext xmlns:c16="http://schemas.microsoft.com/office/drawing/2014/chart" uri="{C3380CC4-5D6E-409C-BE32-E72D297353CC}">
                <c16:uniqueId val="{00000001-7655-4B93-828A-0B0A896F0BE5}"/>
              </c:ext>
            </c:extLst>
          </c:dPt>
          <c:dPt>
            <c:idx val="2"/>
            <c:marker>
              <c:spPr>
                <a:solidFill>
                  <a:srgbClr val="92D050"/>
                </a:solidFill>
              </c:spPr>
            </c:marker>
            <c:bubble3D val="0"/>
            <c:extLst xmlns:c16r2="http://schemas.microsoft.com/office/drawing/2015/06/chart">
              <c:ext xmlns:c16="http://schemas.microsoft.com/office/drawing/2014/chart" uri="{C3380CC4-5D6E-409C-BE32-E72D297353CC}">
                <c16:uniqueId val="{00000002-7655-4B93-828A-0B0A896F0BE5}"/>
              </c:ext>
            </c:extLst>
          </c:dPt>
          <c:dPt>
            <c:idx val="3"/>
            <c:marker>
              <c:spPr>
                <a:solidFill>
                  <a:srgbClr val="92D050"/>
                </a:solidFill>
              </c:spPr>
            </c:marker>
            <c:bubble3D val="0"/>
            <c:extLst xmlns:c16r2="http://schemas.microsoft.com/office/drawing/2015/06/chart">
              <c:ext xmlns:c16="http://schemas.microsoft.com/office/drawing/2014/chart" uri="{C3380CC4-5D6E-409C-BE32-E72D297353CC}">
                <c16:uniqueId val="{00000003-7655-4B93-828A-0B0A896F0BE5}"/>
              </c:ext>
            </c:extLst>
          </c:dPt>
          <c:dPt>
            <c:idx val="4"/>
            <c:marker>
              <c:spPr>
                <a:solidFill>
                  <a:srgbClr val="92D050"/>
                </a:solidFill>
              </c:spPr>
            </c:marker>
            <c:bubble3D val="0"/>
            <c:extLst xmlns:c16r2="http://schemas.microsoft.com/office/drawing/2015/06/chart">
              <c:ext xmlns:c16="http://schemas.microsoft.com/office/drawing/2014/chart" uri="{C3380CC4-5D6E-409C-BE32-E72D297353CC}">
                <c16:uniqueId val="{00000004-7655-4B93-828A-0B0A896F0BE5}"/>
              </c:ext>
            </c:extLst>
          </c:dPt>
          <c:dPt>
            <c:idx val="5"/>
            <c:marker>
              <c:spPr>
                <a:solidFill>
                  <a:srgbClr val="92D050"/>
                </a:solidFill>
              </c:spPr>
            </c:marker>
            <c:bubble3D val="0"/>
            <c:extLst xmlns:c16r2="http://schemas.microsoft.com/office/drawing/2015/06/chart">
              <c:ext xmlns:c16="http://schemas.microsoft.com/office/drawing/2014/chart" uri="{C3380CC4-5D6E-409C-BE32-E72D297353CC}">
                <c16:uniqueId val="{00000005-7655-4B93-828A-0B0A896F0BE5}"/>
              </c:ext>
            </c:extLst>
          </c:dPt>
          <c:dPt>
            <c:idx val="6"/>
            <c:marker>
              <c:spPr>
                <a:solidFill>
                  <a:srgbClr val="92D050"/>
                </a:solidFill>
              </c:spPr>
            </c:marker>
            <c:bubble3D val="0"/>
            <c:extLst xmlns:c16r2="http://schemas.microsoft.com/office/drawing/2015/06/chart">
              <c:ext xmlns:c16="http://schemas.microsoft.com/office/drawing/2014/chart" uri="{C3380CC4-5D6E-409C-BE32-E72D297353CC}">
                <c16:uniqueId val="{00000006-7655-4B93-828A-0B0A896F0BE5}"/>
              </c:ext>
            </c:extLst>
          </c:dPt>
          <c:dPt>
            <c:idx val="7"/>
            <c:marker>
              <c:spPr>
                <a:solidFill>
                  <a:srgbClr val="92D050"/>
                </a:solidFill>
              </c:spPr>
            </c:marker>
            <c:bubble3D val="0"/>
            <c:extLst xmlns:c16r2="http://schemas.microsoft.com/office/drawing/2015/06/chart">
              <c:ext xmlns:c16="http://schemas.microsoft.com/office/drawing/2014/chart" uri="{C3380CC4-5D6E-409C-BE32-E72D297353CC}">
                <c16:uniqueId val="{00000007-7655-4B93-828A-0B0A896F0BE5}"/>
              </c:ext>
            </c:extLst>
          </c:dPt>
          <c:dPt>
            <c:idx val="8"/>
            <c:marker>
              <c:spPr>
                <a:solidFill>
                  <a:srgbClr val="92D050"/>
                </a:solidFill>
              </c:spPr>
            </c:marker>
            <c:bubble3D val="0"/>
            <c:extLst xmlns:c16r2="http://schemas.microsoft.com/office/drawing/2015/06/chart">
              <c:ext xmlns:c16="http://schemas.microsoft.com/office/drawing/2014/chart" uri="{C3380CC4-5D6E-409C-BE32-E72D297353CC}">
                <c16:uniqueId val="{00000008-7655-4B93-828A-0B0A896F0BE5}"/>
              </c:ext>
            </c:extLst>
          </c:dPt>
          <c:dPt>
            <c:idx val="9"/>
            <c:marker>
              <c:spPr>
                <a:solidFill>
                  <a:srgbClr val="92D050"/>
                </a:solidFill>
              </c:spPr>
            </c:marker>
            <c:bubble3D val="0"/>
            <c:extLst xmlns:c16r2="http://schemas.microsoft.com/office/drawing/2015/06/chart">
              <c:ext xmlns:c16="http://schemas.microsoft.com/office/drawing/2014/chart" uri="{C3380CC4-5D6E-409C-BE32-E72D297353CC}">
                <c16:uniqueId val="{00000009-37AC-48DE-844D-4558CC480219}"/>
              </c:ext>
            </c:extLst>
          </c:dPt>
          <c:dPt>
            <c:idx val="10"/>
            <c:marker>
              <c:spPr>
                <a:solidFill>
                  <a:srgbClr val="92D050"/>
                </a:solidFill>
              </c:spPr>
            </c:marker>
            <c:bubble3D val="0"/>
            <c:extLst xmlns:c16r2="http://schemas.microsoft.com/office/drawing/2015/06/chart">
              <c:ext xmlns:c16="http://schemas.microsoft.com/office/drawing/2014/chart" uri="{C3380CC4-5D6E-409C-BE32-E72D297353CC}">
                <c16:uniqueId val="{0000000A-37AC-48DE-844D-4558CC480219}"/>
              </c:ext>
            </c:extLst>
          </c:dPt>
          <c:dPt>
            <c:idx val="11"/>
            <c:marker>
              <c:spPr>
                <a:solidFill>
                  <a:srgbClr val="92D050"/>
                </a:solidFill>
              </c:spPr>
            </c:marker>
            <c:bubble3D val="0"/>
            <c:extLst xmlns:c16r2="http://schemas.microsoft.com/office/drawing/2015/06/chart">
              <c:ext xmlns:c16="http://schemas.microsoft.com/office/drawing/2014/chart" uri="{C3380CC4-5D6E-409C-BE32-E72D297353CC}">
                <c16:uniqueId val="{0000000B-37AC-48DE-844D-4558CC480219}"/>
              </c:ext>
            </c:extLst>
          </c:dPt>
          <c:cat>
            <c:numRef>
              <c:f>API!$C$3:$Y$3</c:f>
              <c:numCache>
                <c:formatCode>General</c:formatCod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numCache>
            </c:numRef>
          </c:cat>
          <c:val>
            <c:numRef>
              <c:f>API!$C$4:$Y$4</c:f>
              <c:numCache>
                <c:formatCode>_-* #,##0_-;\-* #,##0_-;_-* "-"??_-;_-@_-</c:formatCode>
                <c:ptCount val="23"/>
                <c:pt idx="0">
                  <c:v>84690</c:v>
                </c:pt>
                <c:pt idx="1">
                  <c:v>63873</c:v>
                </c:pt>
                <c:pt idx="2">
                  <c:v>55873</c:v>
                </c:pt>
                <c:pt idx="3">
                  <c:v>51773</c:v>
                </c:pt>
                <c:pt idx="4">
                  <c:v>29518</c:v>
                </c:pt>
                <c:pt idx="5">
                  <c:v>26891</c:v>
                </c:pt>
                <c:pt idx="6">
                  <c:v>57480</c:v>
                </c:pt>
                <c:pt idx="7">
                  <c:v>39719</c:v>
                </c:pt>
                <c:pt idx="8">
                  <c:v>27737</c:v>
                </c:pt>
                <c:pt idx="9">
                  <c:v>29247</c:v>
                </c:pt>
                <c:pt idx="10">
                  <c:v>10523</c:v>
                </c:pt>
                <c:pt idx="11">
                  <c:v>17225</c:v>
                </c:pt>
                <c:pt idx="12">
                  <c:v>14627.55</c:v>
                </c:pt>
                <c:pt idx="13">
                  <c:v>12432.057499999999</c:v>
                </c:pt>
                <c:pt idx="14">
                  <c:v>9403.3288299999986</c:v>
                </c:pt>
                <c:pt idx="15">
                  <c:v>6248.3729306199994</c:v>
                </c:pt>
                <c:pt idx="16">
                  <c:v>3603.8379353273203</c:v>
                </c:pt>
                <c:pt idx="17">
                  <c:v>1777.4365528944461</c:v>
                </c:pt>
                <c:pt idx="18">
                  <c:v>728.74898668672313</c:v>
                </c:pt>
                <c:pt idx="19">
                  <c:v>234.65717371312496</c:v>
                </c:pt>
                <c:pt idx="20">
                  <c:v>54.909778648871281</c:v>
                </c:pt>
                <c:pt idx="21">
                  <c:v>8.016827682735217</c:v>
                </c:pt>
                <c:pt idx="22">
                  <c:v>0.4649760055986441</c:v>
                </c:pt>
              </c:numCache>
            </c:numRef>
          </c:val>
          <c:smooth val="0"/>
          <c:extLst xmlns:c16r2="http://schemas.microsoft.com/office/drawing/2015/06/chart">
            <c:ext xmlns:c16="http://schemas.microsoft.com/office/drawing/2014/chart" uri="{C3380CC4-5D6E-409C-BE32-E72D297353CC}">
              <c16:uniqueId val="{00000009-7655-4B93-828A-0B0A896F0BE5}"/>
            </c:ext>
          </c:extLst>
        </c:ser>
        <c:dLbls>
          <c:showLegendKey val="0"/>
          <c:showVal val="0"/>
          <c:showCatName val="0"/>
          <c:showSerName val="0"/>
          <c:showPercent val="0"/>
          <c:showBubbleSize val="0"/>
        </c:dLbls>
        <c:marker val="1"/>
        <c:smooth val="0"/>
        <c:axId val="-1259214960"/>
        <c:axId val="-1259220400"/>
      </c:lineChart>
      <c:catAx>
        <c:axId val="-1259214960"/>
        <c:scaling>
          <c:orientation val="minMax"/>
        </c:scaling>
        <c:delete val="0"/>
        <c:axPos val="b"/>
        <c:numFmt formatCode="General" sourceLinked="1"/>
        <c:majorTickMark val="out"/>
        <c:minorTickMark val="none"/>
        <c:tickLblPos val="nextTo"/>
        <c:crossAx val="-1259220400"/>
        <c:crosses val="autoZero"/>
        <c:auto val="1"/>
        <c:lblAlgn val="ctr"/>
        <c:lblOffset val="100"/>
        <c:noMultiLvlLbl val="0"/>
      </c:catAx>
      <c:valAx>
        <c:axId val="-1259220400"/>
        <c:scaling>
          <c:orientation val="minMax"/>
        </c:scaling>
        <c:delete val="0"/>
        <c:axPos val="l"/>
        <c:majorGridlines/>
        <c:numFmt formatCode="_-* #,##0_-;\-* #,##0_-;_-* &quot;-&quot;??_-;_-@_-" sourceLinked="1"/>
        <c:majorTickMark val="out"/>
        <c:minorTickMark val="none"/>
        <c:tickLblPos val="nextTo"/>
        <c:crossAx val="-1259214960"/>
        <c:crosses val="autoZero"/>
        <c:crossBetween val="between"/>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lineChart>
        <c:grouping val="standard"/>
        <c:varyColors val="0"/>
        <c:ser>
          <c:idx val="0"/>
          <c:order val="0"/>
          <c:tx>
            <c:strRef>
              <c:f>API!$B$55</c:f>
              <c:strCache>
                <c:ptCount val="1"/>
                <c:pt idx="0">
                  <c:v>Malaria Mortality Rate (per 100,000 at risk)</c:v>
                </c:pt>
              </c:strCache>
            </c:strRef>
          </c:tx>
          <c:cat>
            <c:numRef>
              <c:f>API!$C$54:$Y$54</c:f>
              <c:numCache>
                <c:formatCode>General</c:formatCod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numCache>
            </c:numRef>
          </c:cat>
          <c:val>
            <c:numRef>
              <c:f>API!$C$55:$Y$55</c:f>
              <c:numCache>
                <c:formatCode>0.00</c:formatCode>
                <c:ptCount val="23"/>
                <c:pt idx="0">
                  <c:v>1.0296031507829504</c:v>
                </c:pt>
                <c:pt idx="1">
                  <c:v>0.30961035889560218</c:v>
                </c:pt>
                <c:pt idx="2">
                  <c:v>0.24015289797731837</c:v>
                </c:pt>
                <c:pt idx="3">
                  <c:v>0.23022744361010447</c:v>
                </c:pt>
                <c:pt idx="4">
                  <c:v>6.9313169502205424E-2</c:v>
                </c:pt>
                <c:pt idx="5">
                  <c:v>9.3148672920171802E-2</c:v>
                </c:pt>
                <c:pt idx="6">
                  <c:v>0.27539767296788747</c:v>
                </c:pt>
                <c:pt idx="7">
                  <c:v>5.4281595144946779E-2</c:v>
                </c:pt>
                <c:pt idx="8">
                  <c:v>9.1324200913242018E-2</c:v>
                </c:pt>
                <c:pt idx="9">
                  <c:v>7.3033707865168537E-2</c:v>
                </c:pt>
                <c:pt idx="10">
                  <c:v>3.316749585406302E-2</c:v>
                </c:pt>
                <c:pt idx="11">
                  <c:v>4.8025613660619006E-2</c:v>
                </c:pt>
                <c:pt idx="12" formatCode="_-* #,##0.00_-;\-* #,##0.00_-;_-* &quot;-&quot;??_-;_-@_-">
                  <c:v>4.0157480314960629E-2</c:v>
                </c:pt>
                <c:pt idx="13" formatCode="_-* #,##0.00_-;\-* #,##0.00_-;_-* &quot;-&quot;??_-;_-@_-">
                  <c:v>3.3569953536396482E-2</c:v>
                </c:pt>
                <c:pt idx="14" formatCode="_-* #,##0.00_-;\-* #,##0.00_-;_-* &quot;-&quot;??_-;_-@_-">
                  <c:v>2.5164575926866429E-2</c:v>
                </c:pt>
                <c:pt idx="15" formatCode="_-* #,##0.00_-;\-* #,##0.00_-;_-* &quot;-&quot;??_-;_-@_-">
                  <c:v>1.5139300349475786E-2</c:v>
                </c:pt>
                <c:pt idx="16" formatCode="_-* #,##0.00_-;\-* #,##0.00_-;_-* &quot;-&quot;??_-;_-@_-">
                  <c:v>6.8930292317510725E-3</c:v>
                </c:pt>
                <c:pt idx="17" formatCode="_-* #,##0.00_-;\-* #,##0.00_-;_-* &quot;-&quot;??_-;_-@_-">
                  <c:v>2.1194689270782833E-3</c:v>
                </c:pt>
                <c:pt idx="18" formatCode="_-* #,##0.0000_-;\-* #,##0.0000_-;_-* &quot;-&quot;??_-;_-@_-">
                  <c:v>0</c:v>
                </c:pt>
                <c:pt idx="19" formatCode="_-* #,##0.0000_-;\-* #,##0.0000_-;_-* &quot;-&quot;??_-;_-@_-">
                  <c:v>0</c:v>
                </c:pt>
                <c:pt idx="20" formatCode="_-* #,##0.00000_-;\-* #,##0.00000_-;_-* &quot;-&quot;??_-;_-@_-">
                  <c:v>0</c:v>
                </c:pt>
                <c:pt idx="21" formatCode="_-* #,##0.00000_-;\-* #,##0.00000_-;_-* &quot;-&quot;??_-;_-@_-">
                  <c:v>0</c:v>
                </c:pt>
                <c:pt idx="22" formatCode="_-* #,##0.00000_-;\-* #,##0.00000_-;_-* &quot;-&quot;??_-;_-@_-">
                  <c:v>0</c:v>
                </c:pt>
              </c:numCache>
            </c:numRef>
          </c:val>
          <c:smooth val="0"/>
          <c:extLst xmlns:c16r2="http://schemas.microsoft.com/office/drawing/2015/06/chart">
            <c:ext xmlns:c16="http://schemas.microsoft.com/office/drawing/2014/chart" uri="{C3380CC4-5D6E-409C-BE32-E72D297353CC}">
              <c16:uniqueId val="{00000000-EF49-423E-88E9-EC40E72B7C7C}"/>
            </c:ext>
          </c:extLst>
        </c:ser>
        <c:dLbls>
          <c:showLegendKey val="0"/>
          <c:showVal val="0"/>
          <c:showCatName val="0"/>
          <c:showSerName val="0"/>
          <c:showPercent val="0"/>
          <c:showBubbleSize val="0"/>
        </c:dLbls>
        <c:marker val="1"/>
        <c:smooth val="0"/>
        <c:axId val="-1259235088"/>
        <c:axId val="-1259223120"/>
      </c:lineChart>
      <c:catAx>
        <c:axId val="-1259235088"/>
        <c:scaling>
          <c:orientation val="minMax"/>
        </c:scaling>
        <c:delete val="0"/>
        <c:axPos val="b"/>
        <c:numFmt formatCode="General" sourceLinked="1"/>
        <c:majorTickMark val="out"/>
        <c:minorTickMark val="none"/>
        <c:tickLblPos val="nextTo"/>
        <c:crossAx val="-1259223120"/>
        <c:crosses val="autoZero"/>
        <c:auto val="1"/>
        <c:lblAlgn val="ctr"/>
        <c:lblOffset val="100"/>
        <c:noMultiLvlLbl val="0"/>
      </c:catAx>
      <c:valAx>
        <c:axId val="-1259223120"/>
        <c:scaling>
          <c:orientation val="minMax"/>
        </c:scaling>
        <c:delete val="0"/>
        <c:axPos val="l"/>
        <c:majorGridlines/>
        <c:numFmt formatCode="0.00" sourceLinked="1"/>
        <c:majorTickMark val="out"/>
        <c:minorTickMark val="none"/>
        <c:tickLblPos val="nextTo"/>
        <c:crossAx val="-1259235088"/>
        <c:crosses val="autoZero"/>
        <c:crossBetween val="between"/>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4038600</xdr:colOff>
      <xdr:row>63</xdr:row>
      <xdr:rowOff>25400</xdr:rowOff>
    </xdr:from>
    <xdr:to>
      <xdr:col>25</xdr:col>
      <xdr:colOff>190500</xdr:colOff>
      <xdr:row>84</xdr:row>
      <xdr:rowOff>162561</xdr:rowOff>
    </xdr:to>
    <xdr:graphicFrame macro="">
      <xdr:nvGraphicFramePr>
        <xdr:cNvPr id="3" name="Chart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3917950</xdr:colOff>
      <xdr:row>27</xdr:row>
      <xdr:rowOff>88900</xdr:rowOff>
    </xdr:from>
    <xdr:to>
      <xdr:col>25</xdr:col>
      <xdr:colOff>184150</xdr:colOff>
      <xdr:row>51</xdr:row>
      <xdr:rowOff>25400</xdr:rowOff>
    </xdr:to>
    <xdr:graphicFrame macro="">
      <xdr:nvGraphicFramePr>
        <xdr:cNvPr id="4" name="Chart 3">
          <a:extLst>
            <a:ext uri="{FF2B5EF4-FFF2-40B4-BE49-F238E27FC236}">
              <a16:creationId xmlns:a16="http://schemas.microsoft.com/office/drawing/2014/main" xmlns=""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4025900</xdr:colOff>
      <xdr:row>63</xdr:row>
      <xdr:rowOff>76200</xdr:rowOff>
    </xdr:from>
    <xdr:to>
      <xdr:col>25</xdr:col>
      <xdr:colOff>177800</xdr:colOff>
      <xdr:row>84</xdr:row>
      <xdr:rowOff>165100</xdr:rowOff>
    </xdr:to>
    <xdr:graphicFrame macro="">
      <xdr:nvGraphicFramePr>
        <xdr:cNvPr id="5" name="Chart 4">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MCP\Docs%20NMCP\Population%20of%2013%20Malaria%20Endemic%20District\Projected%20Pop%202019-25%20Estimation%202019_Moheskhali%20included\Projected%20Popupation%202019-2025-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 Pop per HH visit"/>
      <sheetName val="Dist pop"/>
      <sheetName val="Sheet1"/>
    </sheetNames>
    <sheetDataSet>
      <sheetData sheetId="0">
        <row r="14">
          <cell r="J14">
            <v>830868</v>
          </cell>
          <cell r="K14">
            <v>844389.26730000007</v>
          </cell>
          <cell r="L14">
            <v>858176.92390921002</v>
          </cell>
          <cell r="M14">
            <v>872236.6489795685</v>
          </cell>
          <cell r="N14">
            <v>886574.25141082937</v>
          </cell>
          <cell r="O14">
            <v>901195.67299169279</v>
          </cell>
          <cell r="P14">
            <v>916106.9916205809</v>
          </cell>
        </row>
        <row r="25">
          <cell r="J25">
            <v>763712</v>
          </cell>
          <cell r="K25">
            <v>776963.84169999999</v>
          </cell>
          <cell r="L25">
            <v>790478.8891598701</v>
          </cell>
          <cell r="M25">
            <v>804262.49635670113</v>
          </cell>
          <cell r="N25">
            <v>818320.12807138416</v>
          </cell>
          <cell r="O25">
            <v>832657.36221163929</v>
          </cell>
          <cell r="P25">
            <v>847279.8921842454</v>
          </cell>
        </row>
        <row r="33">
          <cell r="J33">
            <v>565032</v>
          </cell>
          <cell r="K33">
            <v>580016.40130000003</v>
          </cell>
          <cell r="L33">
            <v>595425.24576467008</v>
          </cell>
          <cell r="M33">
            <v>611271.05557274644</v>
          </cell>
          <cell r="N33">
            <v>627566.73300294904</v>
          </cell>
          <cell r="O33">
            <v>644325.57221974293</v>
          </cell>
          <cell r="P33">
            <v>661561.27143053361</v>
          </cell>
        </row>
        <row r="37">
          <cell r="J37">
            <v>542789</v>
          </cell>
          <cell r="K37">
            <v>545756.96539999999</v>
          </cell>
          <cell r="L37">
            <v>548742.65476539999</v>
          </cell>
          <cell r="M37">
            <v>551746.18026128702</v>
          </cell>
          <cell r="N37">
            <v>554767.65478705394</v>
          </cell>
          <cell r="O37">
            <v>557807.19198129606</v>
          </cell>
          <cell r="P37">
            <v>560864.90622674068</v>
          </cell>
        </row>
        <row r="40">
          <cell r="J40">
            <v>602207</v>
          </cell>
          <cell r="K40">
            <v>608116.71189999999</v>
          </cell>
          <cell r="L40">
            <v>614089.24150727002</v>
          </cell>
          <cell r="M40">
            <v>620125.30318960827</v>
          </cell>
          <cell r="N40">
            <v>626225.61985507898</v>
          </cell>
          <cell r="O40">
            <v>632390.92305758607</v>
          </cell>
          <cell r="P40">
            <v>638621.95310377982</v>
          </cell>
        </row>
        <row r="43">
          <cell r="J43">
            <v>588210</v>
          </cell>
          <cell r="K43">
            <v>596234.44500000007</v>
          </cell>
          <cell r="L43">
            <v>604369.13354069996</v>
          </cell>
          <cell r="M43">
            <v>612615.59052621829</v>
          </cell>
          <cell r="N43">
            <v>620975.36209038249</v>
          </cell>
          <cell r="O43">
            <v>629450.01589409425</v>
          </cell>
          <cell r="P43">
            <v>638041.14142688492</v>
          </cell>
        </row>
        <row r="46">
          <cell r="J46">
            <v>347766</v>
          </cell>
          <cell r="K46">
            <v>353354.71299999999</v>
          </cell>
          <cell r="L46">
            <v>359033.78917278</v>
          </cell>
          <cell r="M46">
            <v>364804.69759148452</v>
          </cell>
          <cell r="N46">
            <v>370668.93132819573</v>
          </cell>
          <cell r="O46">
            <v>376628.00784764241</v>
          </cell>
          <cell r="P46">
            <v>382683.46940739232</v>
          </cell>
        </row>
        <row r="51">
          <cell r="J51">
            <v>1151678</v>
          </cell>
          <cell r="K51">
            <v>1186166.2039000001</v>
          </cell>
          <cell r="L51">
            <v>1221759.30277025</v>
          </cell>
          <cell r="M51">
            <v>1258494.7708892908</v>
          </cell>
          <cell r="N51">
            <v>1296411.413992967</v>
          </cell>
          <cell r="O51">
            <v>1335549.4183829019</v>
          </cell>
          <cell r="P51">
            <v>1375950.4019015287</v>
          </cell>
        </row>
        <row r="54">
          <cell r="J54">
            <v>758170</v>
          </cell>
          <cell r="K54">
            <v>768789.10899999994</v>
          </cell>
          <cell r="L54">
            <v>779559.13431579992</v>
          </cell>
          <cell r="M54">
            <v>790482.25039215432</v>
          </cell>
          <cell r="N54">
            <v>801560.66340098833</v>
          </cell>
          <cell r="O54">
            <v>812796.61170957331</v>
          </cell>
          <cell r="P54">
            <v>824192.36635567853</v>
          </cell>
        </row>
        <row r="61">
          <cell r="J61">
            <v>1882588</v>
          </cell>
          <cell r="K61">
            <v>1913993.6287</v>
          </cell>
          <cell r="L61">
            <v>1946141.8037751301</v>
          </cell>
          <cell r="M61">
            <v>1979051.2031318559</v>
          </cell>
          <cell r="N61">
            <v>2012741.0030617802</v>
          </cell>
          <cell r="O61">
            <v>2047230.892243277</v>
          </cell>
          <cell r="P61">
            <v>2082541.0861532236</v>
          </cell>
        </row>
        <row r="69">
          <cell r="J69">
            <v>2109182</v>
          </cell>
          <cell r="K69">
            <v>2131800.2758999998</v>
          </cell>
          <cell r="L69">
            <v>2154771.6860906901</v>
          </cell>
          <cell r="M69">
            <v>2178102.0566340922</v>
          </cell>
          <cell r="N69">
            <v>2201797.3139978019</v>
          </cell>
          <cell r="O69">
            <v>2225863.4868424926</v>
          </cell>
          <cell r="P69">
            <v>2250306.7078419956</v>
          </cell>
        </row>
        <row r="83">
          <cell r="J83">
            <v>5695056</v>
          </cell>
          <cell r="K83">
            <v>5786135.8705000002</v>
          </cell>
          <cell r="L83">
            <v>5879743.9778072303</v>
          </cell>
          <cell r="M83">
            <v>5975979.809962457</v>
          </cell>
          <cell r="N83">
            <v>6074947.4060274884</v>
          </cell>
          <cell r="O83">
            <v>6176755.5751373079</v>
          </cell>
          <cell r="P83">
            <v>6281518.1262678467</v>
          </cell>
        </row>
        <row r="91">
          <cell r="J91">
            <v>2907545</v>
          </cell>
          <cell r="K91">
            <v>2962010.7872000001</v>
          </cell>
          <cell r="L91">
            <v>3017952.5185014401</v>
          </cell>
          <cell r="M91">
            <v>3075410.3869675235</v>
          </cell>
          <cell r="N91">
            <v>3134425.6848389851</v>
          </cell>
          <cell r="O91">
            <v>3195040.8337028329</v>
          </cell>
          <cell r="P91">
            <v>3257299.4154916834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0"/>
  <sheetViews>
    <sheetView workbookViewId="0">
      <selection activeCell="B9" sqref="B9"/>
    </sheetView>
  </sheetViews>
  <sheetFormatPr defaultColWidth="12.5" defaultRowHeight="14.5" x14ac:dyDescent="0.35"/>
  <cols>
    <col min="1" max="1" width="32.75" style="71" bestFit="1" customWidth="1"/>
    <col min="2" max="2" width="17" style="71" customWidth="1"/>
    <col min="3" max="3" width="11.83203125" style="71" customWidth="1"/>
    <col min="4" max="4" width="15.08203125" style="71" customWidth="1"/>
    <col min="5" max="5" width="15.58203125" style="71" customWidth="1"/>
    <col min="6" max="6" width="14.33203125" style="71" customWidth="1"/>
    <col min="7" max="7" width="13.08203125" style="71" bestFit="1" customWidth="1"/>
    <col min="8" max="10" width="12.33203125" style="71" bestFit="1" customWidth="1"/>
    <col min="11" max="11" width="14.5" style="71" customWidth="1"/>
    <col min="12" max="12" width="15.08203125" style="71" customWidth="1"/>
    <col min="13" max="13" width="14.5" style="71" bestFit="1" customWidth="1"/>
    <col min="14" max="15" width="12.5" style="71"/>
    <col min="16" max="17" width="12.08203125" style="71" bestFit="1" customWidth="1"/>
    <col min="18" max="16384" width="12.5" style="71"/>
  </cols>
  <sheetData>
    <row r="1" spans="1:31" x14ac:dyDescent="0.35">
      <c r="A1" s="70" t="s">
        <v>136</v>
      </c>
      <c r="B1" s="70" t="s">
        <v>137</v>
      </c>
    </row>
    <row r="2" spans="1:31" x14ac:dyDescent="0.35">
      <c r="A2" s="394" t="s">
        <v>86</v>
      </c>
      <c r="B2" s="394"/>
      <c r="C2" s="394"/>
      <c r="D2" s="394"/>
      <c r="E2" s="394"/>
      <c r="F2" s="394"/>
      <c r="G2" s="394"/>
      <c r="H2" s="394"/>
      <c r="I2" s="394"/>
      <c r="J2" s="394"/>
    </row>
    <row r="3" spans="1:31" x14ac:dyDescent="0.35">
      <c r="A3" s="72"/>
    </row>
    <row r="4" spans="1:31" x14ac:dyDescent="0.35">
      <c r="A4" s="73" t="s">
        <v>77</v>
      </c>
      <c r="B4" s="74"/>
      <c r="C4" s="75"/>
      <c r="D4" s="75"/>
      <c r="E4" s="75"/>
      <c r="F4" s="75"/>
      <c r="G4" s="75"/>
      <c r="H4" s="75"/>
      <c r="I4" s="75"/>
      <c r="J4" s="75"/>
    </row>
    <row r="5" spans="1:31" hidden="1" x14ac:dyDescent="0.35">
      <c r="A5" s="76" t="s">
        <v>78</v>
      </c>
      <c r="B5" s="86">
        <v>1.47E-2</v>
      </c>
      <c r="C5" s="76"/>
      <c r="D5" s="76"/>
      <c r="E5" s="76"/>
      <c r="H5" s="78"/>
      <c r="J5" s="78"/>
    </row>
    <row r="6" spans="1:31" x14ac:dyDescent="0.35">
      <c r="A6" s="79" t="s">
        <v>79</v>
      </c>
      <c r="B6" s="85">
        <v>1.8</v>
      </c>
      <c r="C6" s="76"/>
      <c r="D6" s="76"/>
      <c r="E6" s="76"/>
      <c r="G6" s="77"/>
      <c r="H6" s="78"/>
      <c r="J6" s="78"/>
    </row>
    <row r="8" spans="1:31" ht="15.5" x14ac:dyDescent="0.35">
      <c r="A8" s="87" t="s">
        <v>85</v>
      </c>
      <c r="B8" s="341" t="s">
        <v>71</v>
      </c>
      <c r="C8" s="341" t="s">
        <v>72</v>
      </c>
      <c r="D8" s="341" t="s">
        <v>73</v>
      </c>
      <c r="E8"/>
      <c r="J8"/>
    </row>
    <row r="9" spans="1:31" ht="15.5" x14ac:dyDescent="0.35">
      <c r="A9" t="s">
        <v>200</v>
      </c>
      <c r="B9" s="38">
        <v>0</v>
      </c>
      <c r="C9" s="38">
        <v>0</v>
      </c>
      <c r="D9" s="38">
        <v>1</v>
      </c>
      <c r="E9"/>
      <c r="F9" s="17"/>
      <c r="G9" s="17"/>
      <c r="H9" s="17"/>
      <c r="I9" s="17"/>
      <c r="J9"/>
    </row>
    <row r="10" spans="1:31" ht="15.5" x14ac:dyDescent="0.35">
      <c r="A10" t="s">
        <v>199</v>
      </c>
      <c r="B10" s="88">
        <v>0.05</v>
      </c>
      <c r="C10" s="88">
        <v>0.1</v>
      </c>
      <c r="D10" s="88">
        <v>0.85</v>
      </c>
      <c r="E10"/>
      <c r="F10"/>
      <c r="G10" s="17"/>
      <c r="H10" s="17"/>
      <c r="I10" s="17"/>
      <c r="J10"/>
    </row>
    <row r="11" spans="1:31" ht="31" x14ac:dyDescent="0.35">
      <c r="A11" s="185" t="s">
        <v>201</v>
      </c>
      <c r="B11" s="88">
        <v>0.05</v>
      </c>
      <c r="C11" s="88"/>
      <c r="D11" s="88"/>
      <c r="E11"/>
      <c r="F11"/>
      <c r="G11" s="17"/>
      <c r="H11" s="17"/>
      <c r="I11" s="17"/>
      <c r="J11"/>
    </row>
    <row r="12" spans="1:31" ht="15.5" x14ac:dyDescent="0.35">
      <c r="A12" s="92" t="s">
        <v>90</v>
      </c>
      <c r="B12" s="391" t="s">
        <v>102</v>
      </c>
      <c r="C12" s="392"/>
      <c r="D12" s="392"/>
      <c r="E12" s="393"/>
      <c r="F12" s="388" t="s">
        <v>177</v>
      </c>
      <c r="G12" s="389"/>
      <c r="H12" s="389"/>
      <c r="I12" s="389"/>
      <c r="J12" s="390"/>
    </row>
    <row r="13" spans="1:31" s="82" customFormat="1" ht="15.5" x14ac:dyDescent="0.35">
      <c r="A13" s="63" t="s">
        <v>85</v>
      </c>
      <c r="B13" s="23">
        <v>2017</v>
      </c>
      <c r="C13" s="23">
        <v>2018</v>
      </c>
      <c r="D13" s="23">
        <v>2019</v>
      </c>
      <c r="E13" s="23">
        <v>2020</v>
      </c>
      <c r="F13" s="23">
        <v>2021</v>
      </c>
      <c r="G13" s="23">
        <v>2022</v>
      </c>
      <c r="H13" s="23">
        <v>2023</v>
      </c>
      <c r="I13" s="23">
        <v>2024</v>
      </c>
      <c r="J13" s="23">
        <v>2025</v>
      </c>
      <c r="K13" s="71"/>
      <c r="L13" s="71"/>
      <c r="M13" s="71"/>
      <c r="N13" s="71"/>
      <c r="O13" s="71"/>
      <c r="P13" s="71"/>
      <c r="Q13" s="71"/>
      <c r="R13" s="71"/>
      <c r="S13" s="71"/>
      <c r="T13" s="71"/>
      <c r="U13" s="71"/>
      <c r="V13" s="71"/>
      <c r="W13" s="71"/>
      <c r="X13" s="71"/>
      <c r="Y13" s="71"/>
      <c r="Z13" s="71"/>
      <c r="AA13" s="71"/>
      <c r="AB13" s="71"/>
      <c r="AC13" s="71"/>
      <c r="AD13" s="71"/>
      <c r="AE13" s="71"/>
    </row>
    <row r="14" spans="1:31" ht="15.5" x14ac:dyDescent="0.35">
      <c r="A14" t="s">
        <v>74</v>
      </c>
      <c r="B14" s="64">
        <v>2097654.9203999997</v>
      </c>
      <c r="C14" s="64">
        <v>2138386.83096244</v>
      </c>
      <c r="D14" s="64">
        <v>2159612</v>
      </c>
      <c r="E14" s="64">
        <v>2201369.5103000002</v>
      </c>
      <c r="F14" s="64">
        <v>2244081.05883375</v>
      </c>
      <c r="G14" s="64">
        <v>2287770.2009090162</v>
      </c>
      <c r="H14" s="64">
        <v>2332461.1124851624</v>
      </c>
      <c r="I14" s="64">
        <v>2378178.607423075</v>
      </c>
      <c r="J14" s="64">
        <v>2424948.1552353599</v>
      </c>
    </row>
    <row r="15" spans="1:31" s="83" customFormat="1" ht="15.5" x14ac:dyDescent="0.35">
      <c r="A15" t="s">
        <v>75</v>
      </c>
      <c r="B15" s="69">
        <f t="shared" ref="B15:J15" si="0">(B14/$B$6)*(1+$B$11)</f>
        <v>1223632.0368999999</v>
      </c>
      <c r="C15" s="69">
        <f t="shared" si="0"/>
        <v>1247392.3180614233</v>
      </c>
      <c r="D15" s="69">
        <f t="shared" si="0"/>
        <v>1259773.6666666667</v>
      </c>
      <c r="E15" s="69">
        <f t="shared" si="0"/>
        <v>1284132.2143416668</v>
      </c>
      <c r="F15" s="69">
        <f t="shared" si="0"/>
        <v>1309047.2843196874</v>
      </c>
      <c r="G15" s="69">
        <f t="shared" si="0"/>
        <v>1334532.6171969261</v>
      </c>
      <c r="H15" s="69">
        <f t="shared" si="0"/>
        <v>1360602.3156163448</v>
      </c>
      <c r="I15" s="69">
        <f t="shared" si="0"/>
        <v>1387270.8543301271</v>
      </c>
      <c r="J15" s="69">
        <f t="shared" si="0"/>
        <v>1414553.0905539601</v>
      </c>
      <c r="K15" s="71"/>
      <c r="L15" s="71"/>
      <c r="M15" s="71"/>
      <c r="N15" s="71"/>
      <c r="O15" s="71"/>
      <c r="P15" s="71"/>
      <c r="Q15" s="71"/>
      <c r="R15" s="71"/>
      <c r="S15" s="71"/>
      <c r="T15" s="71"/>
      <c r="U15" s="71"/>
      <c r="V15" s="71"/>
      <c r="W15" s="71"/>
      <c r="X15" s="71"/>
      <c r="Y15" s="71"/>
      <c r="Z15" s="71"/>
      <c r="AA15" s="71"/>
      <c r="AB15" s="71"/>
      <c r="AC15" s="71"/>
      <c r="AD15" s="71"/>
      <c r="AE15" s="71"/>
    </row>
    <row r="16" spans="1:31" ht="15.5" x14ac:dyDescent="0.35">
      <c r="A16" s="182" t="s">
        <v>178</v>
      </c>
      <c r="B16" s="181">
        <f>1204321-108950</f>
        <v>1095371</v>
      </c>
      <c r="C16" s="68">
        <f>B16*(1-$B$9)</f>
        <v>1095371</v>
      </c>
      <c r="D16" s="68">
        <f>B16*(1-($B$9+$C$9))</f>
        <v>1095371</v>
      </c>
      <c r="E16" s="68">
        <f>B16*(1-($B$9+$C$9+$D$9))</f>
        <v>0</v>
      </c>
      <c r="F16" s="67"/>
      <c r="G16" s="67"/>
    </row>
    <row r="17" spans="1:10" ht="15.5" x14ac:dyDescent="0.35">
      <c r="A17" s="182" t="s">
        <v>179</v>
      </c>
      <c r="B17" s="29"/>
      <c r="C17" s="181">
        <f>61641-5708</f>
        <v>55933</v>
      </c>
      <c r="D17" s="68">
        <f>C17*(1-$B$10)</f>
        <v>53136.35</v>
      </c>
      <c r="E17" s="68">
        <f>C17*(1-($B$10+$C$10))</f>
        <v>47543.049999999996</v>
      </c>
      <c r="F17" s="68">
        <f>C17*(1-($B$10+$C$10+$D$10))</f>
        <v>0</v>
      </c>
      <c r="G17" s="67"/>
    </row>
    <row r="18" spans="1:10" ht="15.5" x14ac:dyDescent="0.35">
      <c r="A18" s="182" t="s">
        <v>180</v>
      </c>
      <c r="B18" s="29"/>
      <c r="C18" s="29"/>
      <c r="D18" s="181">
        <f>149088-38708</f>
        <v>110380</v>
      </c>
      <c r="E18" s="68">
        <f>D18*(1-$B$10)</f>
        <v>104861</v>
      </c>
      <c r="F18" s="68">
        <f>D18*(1-($B$10+$C$10))</f>
        <v>93823</v>
      </c>
      <c r="G18" s="68">
        <f>D18*(1-($B$10+$C$10+$D$10))</f>
        <v>0</v>
      </c>
    </row>
    <row r="19" spans="1:10" ht="15.5" x14ac:dyDescent="0.35">
      <c r="A19" s="27" t="s">
        <v>134</v>
      </c>
      <c r="B19" s="29"/>
      <c r="C19" s="29"/>
      <c r="D19" s="29"/>
      <c r="E19" s="181">
        <f>1136910</f>
        <v>1136910</v>
      </c>
      <c r="F19" s="68">
        <f>E19*(1-$B$10)</f>
        <v>1080064.5</v>
      </c>
      <c r="G19" s="68">
        <f>E19*(1-($B$10+$C$10))</f>
        <v>966373.5</v>
      </c>
      <c r="H19" s="68">
        <f>E19*(1-($B$10+$C$10+$D$10))</f>
        <v>0</v>
      </c>
    </row>
    <row r="20" spans="1:10" ht="15.5" x14ac:dyDescent="0.35">
      <c r="A20" s="27" t="s">
        <v>135</v>
      </c>
      <c r="B20" s="29"/>
      <c r="C20" s="29"/>
      <c r="D20" s="29"/>
      <c r="E20" s="29"/>
      <c r="F20" s="89">
        <f>F15-(F17+F18+F19)</f>
        <v>135159.7843196874</v>
      </c>
      <c r="G20" s="68">
        <f>F20*(1-$B$10)</f>
        <v>128401.79510370303</v>
      </c>
      <c r="H20" s="68">
        <f>F20*(1-($B$10+$C$10))</f>
        <v>114885.81667173428</v>
      </c>
      <c r="I20" s="68">
        <f>F20*(1-($B$10+$C$10+$D$10))</f>
        <v>0</v>
      </c>
    </row>
    <row r="21" spans="1:10" ht="15.5" x14ac:dyDescent="0.35">
      <c r="A21" s="27" t="s">
        <v>173</v>
      </c>
      <c r="B21" s="29"/>
      <c r="C21" s="29"/>
      <c r="D21" s="29"/>
      <c r="E21" s="184"/>
      <c r="G21" s="89">
        <f>G15-(G18+G19+G20)</f>
        <v>239757.32209322322</v>
      </c>
      <c r="H21" s="68">
        <f>G21*(1-$B$10)</f>
        <v>227769.45598856205</v>
      </c>
      <c r="I21" s="68">
        <f>G21*(1-($B$10+$C$10))</f>
        <v>203793.72377923972</v>
      </c>
      <c r="J21" s="68">
        <f>G21*(1-($B$10+$C$10+$D$10))</f>
        <v>0</v>
      </c>
    </row>
    <row r="22" spans="1:10" ht="15.5" x14ac:dyDescent="0.35">
      <c r="A22" s="27" t="s">
        <v>174</v>
      </c>
      <c r="B22" s="29"/>
      <c r="C22" s="29"/>
      <c r="D22" s="180"/>
      <c r="E22" s="29"/>
      <c r="F22" s="89"/>
      <c r="G22" s="89"/>
      <c r="H22" s="89">
        <f>H$15-(H19+H20+H21)</f>
        <v>1017947.0429560484</v>
      </c>
      <c r="I22" s="68">
        <f>H22*(1-$B$10)</f>
        <v>967049.69080824591</v>
      </c>
      <c r="J22" s="68">
        <f>H22*(1-($B$10+$C$10))</f>
        <v>865254.98651264107</v>
      </c>
    </row>
    <row r="23" spans="1:10" ht="15.5" x14ac:dyDescent="0.35">
      <c r="A23" s="27" t="s">
        <v>175</v>
      </c>
      <c r="B23" s="29"/>
      <c r="C23" s="29"/>
      <c r="D23" s="29"/>
      <c r="E23" s="29"/>
      <c r="F23" s="89"/>
      <c r="G23" s="89"/>
      <c r="I23" s="89">
        <f>I$15-(I20+I21+I22)</f>
        <v>216427.43974264152</v>
      </c>
      <c r="J23" s="68">
        <f>I23*(1-$B$10)</f>
        <v>205606.06775550943</v>
      </c>
    </row>
    <row r="24" spans="1:10" ht="15.5" x14ac:dyDescent="0.35">
      <c r="A24" s="27" t="s">
        <v>176</v>
      </c>
      <c r="B24" s="29"/>
      <c r="C24" s="29"/>
      <c r="D24" s="29"/>
      <c r="E24" s="29"/>
      <c r="F24" s="89"/>
      <c r="G24" s="89"/>
      <c r="J24" s="89">
        <f>J$15-(J21+J22+J23)</f>
        <v>343692.03628580947</v>
      </c>
    </row>
    <row r="25" spans="1:10" ht="15.5" x14ac:dyDescent="0.35">
      <c r="A25" t="s">
        <v>76</v>
      </c>
      <c r="B25" s="38">
        <f>SUM(B16)/B15</f>
        <v>0.89518005982832738</v>
      </c>
      <c r="C25" s="38">
        <f>SUM(C16:C17)/C15</f>
        <v>0.92296864693639091</v>
      </c>
      <c r="D25" s="38">
        <f>SUM(D16:D18)/D15</f>
        <v>0.99929644769523418</v>
      </c>
      <c r="E25" s="186">
        <f>SUM(E16:E19)/E15</f>
        <v>1.0040352820375196</v>
      </c>
      <c r="F25" s="183">
        <f>SUM(F16:F20)/F15</f>
        <v>1</v>
      </c>
      <c r="G25" s="183">
        <f>SUM(G16:G21)/G15</f>
        <v>1</v>
      </c>
      <c r="H25" s="183">
        <f>SUM(H16:H22)/H15</f>
        <v>1</v>
      </c>
      <c r="I25" s="183">
        <f>SUM(I16:I23)/I15</f>
        <v>1</v>
      </c>
      <c r="J25" s="183">
        <f>SUM(J16:J24)/J15</f>
        <v>1</v>
      </c>
    </row>
    <row r="26" spans="1:10" ht="15.5" x14ac:dyDescent="0.35">
      <c r="A26"/>
      <c r="B26"/>
      <c r="C26"/>
      <c r="D26" s="89"/>
      <c r="E26"/>
      <c r="F26" s="17"/>
      <c r="G26" s="17"/>
      <c r="H26" s="17"/>
      <c r="I26" s="17"/>
      <c r="J26"/>
    </row>
    <row r="27" spans="1:10" ht="15.5" x14ac:dyDescent="0.35">
      <c r="A27"/>
      <c r="B27"/>
      <c r="C27"/>
      <c r="D27"/>
      <c r="E27"/>
      <c r="F27" s="17"/>
      <c r="G27" s="17"/>
      <c r="H27" s="17"/>
      <c r="I27" s="17"/>
      <c r="J27"/>
    </row>
    <row r="28" spans="1:10" ht="15.5" x14ac:dyDescent="0.35">
      <c r="A28"/>
      <c r="B28"/>
      <c r="C28"/>
      <c r="D28"/>
      <c r="E28"/>
      <c r="F28" s="17"/>
      <c r="G28" s="17"/>
      <c r="H28" s="17"/>
      <c r="I28" s="17"/>
      <c r="J28"/>
    </row>
    <row r="30" spans="1:10" x14ac:dyDescent="0.35">
      <c r="C30" s="130"/>
    </row>
  </sheetData>
  <mergeCells count="3">
    <mergeCell ref="F12:J12"/>
    <mergeCell ref="B12:E12"/>
    <mergeCell ref="A2:J2"/>
  </mergeCells>
  <pageMargins left="0.75" right="0.75" top="1" bottom="1" header="0.5" footer="0.5"/>
  <pageSetup paperSize="9" orientation="portrait" horizontalDpi="4294967292" verticalDpi="4294967292"/>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B23" sqref="B23:B24"/>
    </sheetView>
  </sheetViews>
  <sheetFormatPr defaultRowHeight="12.5" x14ac:dyDescent="0.25"/>
  <cols>
    <col min="1" max="1" width="9.83203125" style="280" bestFit="1" customWidth="1"/>
    <col min="2" max="2" width="13.58203125" style="280" bestFit="1" customWidth="1"/>
    <col min="3" max="4" width="10.9140625" style="280" bestFit="1" customWidth="1"/>
    <col min="5" max="5" width="12.6640625" style="280" bestFit="1" customWidth="1"/>
    <col min="6" max="6" width="10.9140625" style="280" bestFit="1" customWidth="1"/>
    <col min="7" max="7" width="12.58203125" style="280" bestFit="1" customWidth="1"/>
    <col min="8" max="8" width="10.9140625" style="280" bestFit="1" customWidth="1"/>
    <col min="9" max="9" width="8.6640625" style="280"/>
    <col min="10" max="10" width="10.25" style="280" bestFit="1" customWidth="1"/>
    <col min="11" max="11" width="9.33203125" style="280" bestFit="1" customWidth="1"/>
    <col min="12" max="16384" width="8.6640625" style="280"/>
  </cols>
  <sheetData>
    <row r="1" spans="1:12" ht="25" x14ac:dyDescent="0.25">
      <c r="A1" s="278"/>
      <c r="B1" s="279" t="s">
        <v>312</v>
      </c>
      <c r="C1" s="279" t="s">
        <v>313</v>
      </c>
      <c r="D1" s="279" t="s">
        <v>314</v>
      </c>
      <c r="E1" s="279" t="s">
        <v>315</v>
      </c>
      <c r="F1" s="279" t="s">
        <v>316</v>
      </c>
      <c r="G1" s="279" t="s">
        <v>317</v>
      </c>
      <c r="H1" s="279" t="s">
        <v>318</v>
      </c>
    </row>
    <row r="2" spans="1:12" ht="15.5" x14ac:dyDescent="0.25">
      <c r="A2" s="278" t="s">
        <v>319</v>
      </c>
      <c r="B2" s="281">
        <f>'[1]Proj Pop per HH visit'!J37</f>
        <v>542789</v>
      </c>
      <c r="C2" s="281">
        <f>'[1]Proj Pop per HH visit'!K37</f>
        <v>545756.96539999999</v>
      </c>
      <c r="D2" s="281">
        <f>'[1]Proj Pop per HH visit'!L37</f>
        <v>548742.65476539999</v>
      </c>
      <c r="E2" s="281">
        <f>'[1]Proj Pop per HH visit'!M37</f>
        <v>551746.18026128702</v>
      </c>
      <c r="F2" s="281">
        <f>'[1]Proj Pop per HH visit'!N37</f>
        <v>554767.65478705394</v>
      </c>
      <c r="G2" s="281">
        <f>'[1]Proj Pop per HH visit'!O37</f>
        <v>557807.19198129606</v>
      </c>
      <c r="H2" s="281">
        <f>'[1]Proj Pop per HH visit'!P37</f>
        <v>560864.90622674068</v>
      </c>
    </row>
    <row r="3" spans="1:12" ht="15.5" x14ac:dyDescent="0.25">
      <c r="A3" s="278" t="s">
        <v>320</v>
      </c>
      <c r="B3" s="281">
        <f>'[1]Proj Pop per HH visit'!J40</f>
        <v>602207</v>
      </c>
      <c r="C3" s="281">
        <f>'[1]Proj Pop per HH visit'!K40</f>
        <v>608116.71189999999</v>
      </c>
      <c r="D3" s="281">
        <f>'[1]Proj Pop per HH visit'!L40</f>
        <v>614089.24150727002</v>
      </c>
      <c r="E3" s="281">
        <f>'[1]Proj Pop per HH visit'!M40</f>
        <v>620125.30318960827</v>
      </c>
      <c r="F3" s="281">
        <f>'[1]Proj Pop per HH visit'!N40</f>
        <v>626225.61985507898</v>
      </c>
      <c r="G3" s="281">
        <f>'[1]Proj Pop per HH visit'!O40</f>
        <v>632390.92305758607</v>
      </c>
      <c r="H3" s="281">
        <f>'[1]Proj Pop per HH visit'!P40</f>
        <v>638621.95310377982</v>
      </c>
      <c r="J3" s="305"/>
      <c r="K3" s="305"/>
      <c r="L3" s="305"/>
    </row>
    <row r="4" spans="1:12" ht="15.5" x14ac:dyDescent="0.25">
      <c r="A4" s="278" t="s">
        <v>321</v>
      </c>
      <c r="B4" s="281">
        <f>'[1]Proj Pop per HH visit'!J43</f>
        <v>588210</v>
      </c>
      <c r="C4" s="281">
        <f>'[1]Proj Pop per HH visit'!K43</f>
        <v>596234.44500000007</v>
      </c>
      <c r="D4" s="281">
        <f>'[1]Proj Pop per HH visit'!L43</f>
        <v>604369.13354069996</v>
      </c>
      <c r="E4" s="281">
        <f>'[1]Proj Pop per HH visit'!M43</f>
        <v>612615.59052621829</v>
      </c>
      <c r="F4" s="281">
        <f>'[1]Proj Pop per HH visit'!N43</f>
        <v>620975.36209038249</v>
      </c>
      <c r="G4" s="281">
        <f>'[1]Proj Pop per HH visit'!O43</f>
        <v>629450.01589409425</v>
      </c>
      <c r="H4" s="281">
        <f>'[1]Proj Pop per HH visit'!P43</f>
        <v>638041.14142688492</v>
      </c>
    </row>
    <row r="5" spans="1:12" ht="15.5" x14ac:dyDescent="0.25">
      <c r="A5" s="278" t="s">
        <v>322</v>
      </c>
      <c r="B5" s="281">
        <f>'[1]Proj Pop per HH visit'!J46</f>
        <v>347766</v>
      </c>
      <c r="C5" s="281">
        <f>'[1]Proj Pop per HH visit'!K46</f>
        <v>353354.71299999999</v>
      </c>
      <c r="D5" s="281">
        <f>'[1]Proj Pop per HH visit'!L46</f>
        <v>359033.78917278</v>
      </c>
      <c r="E5" s="281">
        <f>'[1]Proj Pop per HH visit'!M46</f>
        <v>364804.69759148452</v>
      </c>
      <c r="F5" s="281">
        <f>'[1]Proj Pop per HH visit'!N46</f>
        <v>370668.93132819573</v>
      </c>
      <c r="G5" s="281">
        <f>'[1]Proj Pop per HH visit'!O46</f>
        <v>376628.00784764241</v>
      </c>
      <c r="H5" s="281">
        <f>'[1]Proj Pop per HH visit'!P46</f>
        <v>382683.46940739232</v>
      </c>
      <c r="L5" s="305"/>
    </row>
    <row r="6" spans="1:12" ht="15.5" x14ac:dyDescent="0.25">
      <c r="A6" s="278" t="s">
        <v>323</v>
      </c>
      <c r="B6" s="281">
        <f>SUM(B2:B5)</f>
        <v>2080972</v>
      </c>
      <c r="C6" s="281">
        <f t="shared" ref="C6:H6" si="0">SUM(C2:C5)</f>
        <v>2103462.8353000004</v>
      </c>
      <c r="D6" s="281">
        <f t="shared" si="0"/>
        <v>2126234.81898615</v>
      </c>
      <c r="E6" s="281">
        <f t="shared" si="0"/>
        <v>2149291.7715685982</v>
      </c>
      <c r="F6" s="281">
        <f t="shared" si="0"/>
        <v>2172637.568060711</v>
      </c>
      <c r="G6" s="281">
        <f t="shared" si="0"/>
        <v>2196276.1387806186</v>
      </c>
      <c r="H6" s="281">
        <f t="shared" si="0"/>
        <v>2220211.4701647977</v>
      </c>
    </row>
    <row r="7" spans="1:12" ht="15.5" x14ac:dyDescent="0.25">
      <c r="A7" s="278" t="s">
        <v>324</v>
      </c>
      <c r="B7" s="281">
        <f>'[1]Proj Pop per HH visit'!J51</f>
        <v>1151678</v>
      </c>
      <c r="C7" s="281">
        <f>'[1]Proj Pop per HH visit'!K51</f>
        <v>1186166.2039000001</v>
      </c>
      <c r="D7" s="281">
        <f>'[1]Proj Pop per HH visit'!L51</f>
        <v>1221759.30277025</v>
      </c>
      <c r="E7" s="281">
        <f>'[1]Proj Pop per HH visit'!M51</f>
        <v>1258494.7708892908</v>
      </c>
      <c r="F7" s="281">
        <f>'[1]Proj Pop per HH visit'!N51</f>
        <v>1296411.413992967</v>
      </c>
      <c r="G7" s="281">
        <f>'[1]Proj Pop per HH visit'!O51</f>
        <v>1335549.4183829019</v>
      </c>
      <c r="H7" s="281">
        <f>'[1]Proj Pop per HH visit'!P51</f>
        <v>1375950.4019015287</v>
      </c>
    </row>
    <row r="8" spans="1:12" ht="15.5" x14ac:dyDescent="0.25">
      <c r="A8" s="278" t="s">
        <v>325</v>
      </c>
      <c r="B8" s="281">
        <f>'[1]Proj Pop per HH visit'!J54</f>
        <v>758170</v>
      </c>
      <c r="C8" s="281">
        <f>'[1]Proj Pop per HH visit'!K54</f>
        <v>768789.10899999994</v>
      </c>
      <c r="D8" s="281">
        <f>'[1]Proj Pop per HH visit'!L54</f>
        <v>779559.13431579992</v>
      </c>
      <c r="E8" s="281">
        <f>'[1]Proj Pop per HH visit'!M54</f>
        <v>790482.25039215432</v>
      </c>
      <c r="F8" s="281">
        <f>'[1]Proj Pop per HH visit'!N54</f>
        <v>801560.66340098833</v>
      </c>
      <c r="G8" s="281">
        <f>'[1]Proj Pop per HH visit'!O54</f>
        <v>812796.61170957331</v>
      </c>
      <c r="H8" s="281">
        <f>'[1]Proj Pop per HH visit'!P54</f>
        <v>824192.36635567853</v>
      </c>
    </row>
    <row r="9" spans="1:12" ht="15.5" x14ac:dyDescent="0.25">
      <c r="A9" s="278" t="s">
        <v>326</v>
      </c>
      <c r="B9" s="281">
        <f>'[1]Proj Pop per HH visit'!J61</f>
        <v>1882588</v>
      </c>
      <c r="C9" s="281">
        <f>'[1]Proj Pop per HH visit'!K61</f>
        <v>1913993.6287</v>
      </c>
      <c r="D9" s="281">
        <f>'[1]Proj Pop per HH visit'!L61</f>
        <v>1946141.8037751301</v>
      </c>
      <c r="E9" s="281">
        <f>'[1]Proj Pop per HH visit'!M61</f>
        <v>1979051.2031318559</v>
      </c>
      <c r="F9" s="281">
        <f>'[1]Proj Pop per HH visit'!N61</f>
        <v>2012741.0030617802</v>
      </c>
      <c r="G9" s="281">
        <f>'[1]Proj Pop per HH visit'!O61</f>
        <v>2047230.892243277</v>
      </c>
      <c r="H9" s="281">
        <f>'[1]Proj Pop per HH visit'!P61</f>
        <v>2082541.0861532236</v>
      </c>
    </row>
    <row r="10" spans="1:12" ht="15.5" x14ac:dyDescent="0.25">
      <c r="A10" s="278" t="s">
        <v>327</v>
      </c>
      <c r="B10" s="281">
        <f>'[1]Proj Pop per HH visit'!J69</f>
        <v>2109182</v>
      </c>
      <c r="C10" s="281">
        <f>'[1]Proj Pop per HH visit'!K69</f>
        <v>2131800.2758999998</v>
      </c>
      <c r="D10" s="281">
        <f>'[1]Proj Pop per HH visit'!L69</f>
        <v>2154771.6860906901</v>
      </c>
      <c r="E10" s="281">
        <f>'[1]Proj Pop per HH visit'!M69</f>
        <v>2178102.0566340922</v>
      </c>
      <c r="F10" s="281">
        <f>'[1]Proj Pop per HH visit'!N69</f>
        <v>2201797.3139978019</v>
      </c>
      <c r="G10" s="281">
        <f>'[1]Proj Pop per HH visit'!O69</f>
        <v>2225863.4868424926</v>
      </c>
      <c r="H10" s="281">
        <f>'[1]Proj Pop per HH visit'!P69</f>
        <v>2250306.7078419956</v>
      </c>
    </row>
    <row r="11" spans="1:12" ht="15.5" x14ac:dyDescent="0.25">
      <c r="A11" s="278" t="s">
        <v>328</v>
      </c>
      <c r="B11" s="281">
        <f>'[1]Proj Pop per HH visit'!J83</f>
        <v>5695056</v>
      </c>
      <c r="C11" s="281">
        <f>'[1]Proj Pop per HH visit'!K83</f>
        <v>5786135.8705000002</v>
      </c>
      <c r="D11" s="281">
        <f>'[1]Proj Pop per HH visit'!L83</f>
        <v>5879743.9778072303</v>
      </c>
      <c r="E11" s="281">
        <f>'[1]Proj Pop per HH visit'!M83</f>
        <v>5975979.809962457</v>
      </c>
      <c r="F11" s="281">
        <f>'[1]Proj Pop per HH visit'!N83</f>
        <v>6074947.4060274884</v>
      </c>
      <c r="G11" s="281">
        <f>'[1]Proj Pop per HH visit'!O83</f>
        <v>6176755.5751373079</v>
      </c>
      <c r="H11" s="281">
        <f>'[1]Proj Pop per HH visit'!P83</f>
        <v>6281518.1262678467</v>
      </c>
    </row>
    <row r="12" spans="1:12" ht="15.5" x14ac:dyDescent="0.25">
      <c r="A12" s="278" t="s">
        <v>329</v>
      </c>
      <c r="B12" s="281">
        <f>'[1]Proj Pop per HH visit'!J91</f>
        <v>2907545</v>
      </c>
      <c r="C12" s="281">
        <f>'[1]Proj Pop per HH visit'!K91</f>
        <v>2962010.7872000001</v>
      </c>
      <c r="D12" s="281">
        <f>'[1]Proj Pop per HH visit'!L91</f>
        <v>3017952.5185014401</v>
      </c>
      <c r="E12" s="281">
        <f>'[1]Proj Pop per HH visit'!M91</f>
        <v>3075410.3869675235</v>
      </c>
      <c r="F12" s="281">
        <f>'[1]Proj Pop per HH visit'!N91</f>
        <v>3134425.6848389851</v>
      </c>
      <c r="G12" s="281">
        <f>'[1]Proj Pop per HH visit'!O91</f>
        <v>3195040.8337028329</v>
      </c>
      <c r="H12" s="281">
        <f>'[1]Proj Pop per HH visit'!P91</f>
        <v>3257299.4154916834</v>
      </c>
    </row>
    <row r="13" spans="1:12" ht="15.5" x14ac:dyDescent="0.25">
      <c r="A13" s="278" t="s">
        <v>330</v>
      </c>
      <c r="B13" s="281">
        <f>SUM(B7:B12)</f>
        <v>14504219</v>
      </c>
      <c r="C13" s="281">
        <f t="shared" ref="C13:H13" si="1">SUM(C7:C12)</f>
        <v>14748895.8752</v>
      </c>
      <c r="D13" s="281">
        <f t="shared" si="1"/>
        <v>14999928.423260542</v>
      </c>
      <c r="E13" s="281">
        <f t="shared" si="1"/>
        <v>15257520.477977373</v>
      </c>
      <c r="F13" s="281">
        <f t="shared" si="1"/>
        <v>15521883.485320009</v>
      </c>
      <c r="G13" s="281">
        <f t="shared" si="1"/>
        <v>15793236.818018384</v>
      </c>
      <c r="H13" s="281">
        <f t="shared" si="1"/>
        <v>16071808.104011957</v>
      </c>
    </row>
    <row r="14" spans="1:12" ht="15.5" x14ac:dyDescent="0.25">
      <c r="A14" s="278" t="s">
        <v>331</v>
      </c>
      <c r="B14" s="281">
        <f>'[1]Proj Pop per HH visit'!J14</f>
        <v>830868</v>
      </c>
      <c r="C14" s="281">
        <f>'[1]Proj Pop per HH visit'!K14</f>
        <v>844389.26730000007</v>
      </c>
      <c r="D14" s="281">
        <f>'[1]Proj Pop per HH visit'!L14</f>
        <v>858176.92390921002</v>
      </c>
      <c r="E14" s="281">
        <f>'[1]Proj Pop per HH visit'!M14</f>
        <v>872236.6489795685</v>
      </c>
      <c r="F14" s="281">
        <f>'[1]Proj Pop per HH visit'!N14</f>
        <v>886574.25141082937</v>
      </c>
      <c r="G14" s="281">
        <f>'[1]Proj Pop per HH visit'!O14</f>
        <v>901195.67299169279</v>
      </c>
      <c r="H14" s="281">
        <f>'[1]Proj Pop per HH visit'!P14</f>
        <v>916106.9916205809</v>
      </c>
    </row>
    <row r="15" spans="1:12" ht="15.5" x14ac:dyDescent="0.25">
      <c r="A15" s="278" t="s">
        <v>332</v>
      </c>
      <c r="B15" s="281">
        <f>'[1]Proj Pop per HH visit'!J25</f>
        <v>763712</v>
      </c>
      <c r="C15" s="281">
        <f>'[1]Proj Pop per HH visit'!K25</f>
        <v>776963.84169999999</v>
      </c>
      <c r="D15" s="281">
        <f>'[1]Proj Pop per HH visit'!L25</f>
        <v>790478.8891598701</v>
      </c>
      <c r="E15" s="281">
        <f>'[1]Proj Pop per HH visit'!M25</f>
        <v>804262.49635670113</v>
      </c>
      <c r="F15" s="281">
        <f>'[1]Proj Pop per HH visit'!N25</f>
        <v>818320.12807138416</v>
      </c>
      <c r="G15" s="281">
        <f>'[1]Proj Pop per HH visit'!O25</f>
        <v>832657.36221163929</v>
      </c>
      <c r="H15" s="281">
        <f>'[1]Proj Pop per HH visit'!P25</f>
        <v>847279.8921842454</v>
      </c>
    </row>
    <row r="16" spans="1:12" ht="15.5" x14ac:dyDescent="0.25">
      <c r="A16" s="278" t="s">
        <v>333</v>
      </c>
      <c r="B16" s="281">
        <f>'[1]Proj Pop per HH visit'!J33</f>
        <v>565032</v>
      </c>
      <c r="C16" s="281">
        <f>'[1]Proj Pop per HH visit'!K33</f>
        <v>580016.40130000003</v>
      </c>
      <c r="D16" s="281">
        <f>'[1]Proj Pop per HH visit'!L33</f>
        <v>595425.24576467008</v>
      </c>
      <c r="E16" s="281">
        <f>'[1]Proj Pop per HH visit'!M33</f>
        <v>611271.05557274644</v>
      </c>
      <c r="F16" s="281">
        <f>'[1]Proj Pop per HH visit'!N33</f>
        <v>627566.73300294904</v>
      </c>
      <c r="G16" s="281">
        <f>'[1]Proj Pop per HH visit'!O33</f>
        <v>644325.57221974293</v>
      </c>
      <c r="H16" s="281">
        <f>'[1]Proj Pop per HH visit'!P33</f>
        <v>661561.27143053361</v>
      </c>
    </row>
    <row r="17" spans="1:8" ht="15.5" x14ac:dyDescent="0.25">
      <c r="A17" s="278" t="s">
        <v>334</v>
      </c>
      <c r="B17" s="281">
        <f>SUM(B14:B16)</f>
        <v>2159612</v>
      </c>
      <c r="C17" s="281">
        <f t="shared" ref="C17:H17" si="2">SUM(C14:C16)</f>
        <v>2201369.5103000002</v>
      </c>
      <c r="D17" s="281">
        <f t="shared" si="2"/>
        <v>2244081.05883375</v>
      </c>
      <c r="E17" s="281">
        <f t="shared" si="2"/>
        <v>2287770.2009090162</v>
      </c>
      <c r="F17" s="281">
        <f t="shared" si="2"/>
        <v>2332461.1124851624</v>
      </c>
      <c r="G17" s="281">
        <f t="shared" si="2"/>
        <v>2378178.607423075</v>
      </c>
      <c r="H17" s="281">
        <f t="shared" si="2"/>
        <v>2424948.1552353599</v>
      </c>
    </row>
    <row r="18" spans="1:8" ht="15.5" x14ac:dyDescent="0.25">
      <c r="A18" s="278" t="s">
        <v>2</v>
      </c>
      <c r="B18" s="281">
        <f>B6+B13+B17</f>
        <v>18744803</v>
      </c>
      <c r="C18" s="281">
        <f t="shared" ref="C18:H18" si="3">C6+C13+C17</f>
        <v>19053728.220800001</v>
      </c>
      <c r="D18" s="281">
        <f t="shared" si="3"/>
        <v>19370244.301080443</v>
      </c>
      <c r="E18" s="281">
        <f t="shared" si="3"/>
        <v>19694582.450454984</v>
      </c>
      <c r="F18" s="281">
        <f t="shared" si="3"/>
        <v>20026982.165865883</v>
      </c>
      <c r="G18" s="281">
        <f t="shared" si="3"/>
        <v>20367691.564222079</v>
      </c>
      <c r="H18" s="281">
        <f t="shared" si="3"/>
        <v>20716967.729412116</v>
      </c>
    </row>
    <row r="19" spans="1:8" ht="15.5" x14ac:dyDescent="0.35">
      <c r="B19" s="282"/>
    </row>
    <row r="20" spans="1:8" hidden="1" x14ac:dyDescent="0.25">
      <c r="A20" s="298" t="s">
        <v>349</v>
      </c>
      <c r="B20" s="283"/>
      <c r="D20" s="283">
        <f>D6+D13</f>
        <v>17126163.242246691</v>
      </c>
      <c r="E20" s="283">
        <f>0.01*E6+E13</f>
        <v>15279013.395693058</v>
      </c>
      <c r="F20" s="283">
        <f>0.02*F6+F13</f>
        <v>15565336.236681223</v>
      </c>
      <c r="G20" s="283">
        <f>0.02*G6+G13</f>
        <v>15837162.340793997</v>
      </c>
      <c r="H20" s="283">
        <f>0.02*H6+H13</f>
        <v>16116212.333415253</v>
      </c>
    </row>
    <row r="21" spans="1:8" ht="15.5" x14ac:dyDescent="0.35">
      <c r="B21" s="284"/>
    </row>
    <row r="22" spans="1:8" ht="15.5" x14ac:dyDescent="0.35">
      <c r="B22" s="285"/>
    </row>
    <row r="23" spans="1:8" ht="15.5" x14ac:dyDescent="0.35">
      <c r="B23" s="293"/>
    </row>
    <row r="24" spans="1:8" ht="15.5" x14ac:dyDescent="0.35">
      <c r="B24" s="2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8"/>
  <sheetViews>
    <sheetView workbookViewId="0">
      <selection activeCell="E11" sqref="E11"/>
    </sheetView>
  </sheetViews>
  <sheetFormatPr defaultRowHeight="14.5" x14ac:dyDescent="0.35"/>
  <cols>
    <col min="1" max="1" width="8.6640625" style="236"/>
    <col min="2" max="2" width="9.9140625" style="236" customWidth="1"/>
    <col min="3" max="3" width="25.9140625" style="236" customWidth="1"/>
    <col min="4" max="4" width="17.4140625" style="236" customWidth="1"/>
    <col min="5" max="5" width="12.83203125" style="236" customWidth="1"/>
    <col min="6" max="6" width="12.33203125" style="236" customWidth="1"/>
    <col min="7" max="16384" width="8.6640625" style="236"/>
  </cols>
  <sheetData>
    <row r="2" spans="2:6" ht="18.75" customHeight="1" x14ac:dyDescent="0.5">
      <c r="B2" s="352" t="s">
        <v>259</v>
      </c>
      <c r="C2" s="353"/>
      <c r="D2" s="353"/>
      <c r="E2" s="353"/>
      <c r="F2" s="354"/>
    </row>
    <row r="3" spans="2:6" ht="15" customHeight="1" x14ac:dyDescent="0.5">
      <c r="B3" s="237"/>
      <c r="C3" s="238"/>
      <c r="D3" s="238"/>
      <c r="E3" s="238"/>
      <c r="F3" s="239"/>
    </row>
    <row r="4" spans="2:6" ht="18.5" x14ac:dyDescent="0.45">
      <c r="B4" s="355" t="s">
        <v>236</v>
      </c>
      <c r="C4" s="355"/>
      <c r="D4" s="355"/>
      <c r="E4" s="356"/>
    </row>
    <row r="5" spans="2:6" ht="15.5" x14ac:dyDescent="0.35">
      <c r="B5" s="240" t="s">
        <v>237</v>
      </c>
      <c r="C5" s="241" t="s">
        <v>238</v>
      </c>
      <c r="D5" s="241" t="s">
        <v>239</v>
      </c>
      <c r="E5" s="242" t="s">
        <v>240</v>
      </c>
      <c r="F5" s="243" t="s">
        <v>241</v>
      </c>
    </row>
    <row r="6" spans="2:6" ht="15.5" x14ac:dyDescent="0.35">
      <c r="B6" s="240">
        <v>1</v>
      </c>
      <c r="C6" s="241" t="s">
        <v>242</v>
      </c>
      <c r="D6" s="241" t="s">
        <v>243</v>
      </c>
      <c r="E6" s="242">
        <v>0.3</v>
      </c>
      <c r="F6" s="357" t="s">
        <v>244</v>
      </c>
    </row>
    <row r="7" spans="2:6" ht="15.5" x14ac:dyDescent="0.35">
      <c r="B7" s="240">
        <v>2</v>
      </c>
      <c r="C7" s="241" t="s">
        <v>245</v>
      </c>
      <c r="D7" s="241" t="s">
        <v>243</v>
      </c>
      <c r="E7" s="242">
        <v>0.48</v>
      </c>
      <c r="F7" s="358"/>
    </row>
    <row r="8" spans="2:6" ht="15.5" x14ac:dyDescent="0.35">
      <c r="B8" s="240">
        <v>3</v>
      </c>
      <c r="C8" s="241" t="s">
        <v>246</v>
      </c>
      <c r="D8" s="241" t="s">
        <v>243</v>
      </c>
      <c r="E8" s="242">
        <v>0.53</v>
      </c>
      <c r="F8" s="358"/>
    </row>
    <row r="9" spans="2:6" ht="15.5" x14ac:dyDescent="0.35">
      <c r="B9" s="240">
        <v>4</v>
      </c>
      <c r="C9" s="241" t="s">
        <v>247</v>
      </c>
      <c r="D9" s="241" t="s">
        <v>243</v>
      </c>
      <c r="E9" s="242">
        <v>0.61</v>
      </c>
      <c r="F9" s="358"/>
    </row>
    <row r="10" spans="2:6" ht="15.5" x14ac:dyDescent="0.35">
      <c r="B10" s="240">
        <v>5</v>
      </c>
      <c r="C10" s="241" t="s">
        <v>248</v>
      </c>
      <c r="D10" s="241" t="s">
        <v>249</v>
      </c>
      <c r="E10" s="242">
        <v>1.45</v>
      </c>
      <c r="F10" s="358"/>
    </row>
    <row r="11" spans="2:6" ht="15.5" x14ac:dyDescent="0.35">
      <c r="B11" s="240">
        <v>6</v>
      </c>
      <c r="C11" s="241" t="s">
        <v>220</v>
      </c>
      <c r="D11" s="241" t="s">
        <v>250</v>
      </c>
      <c r="E11" s="242">
        <v>0.34</v>
      </c>
      <c r="F11" s="358"/>
    </row>
    <row r="12" spans="2:6" ht="15.5" x14ac:dyDescent="0.35">
      <c r="B12" s="240">
        <v>7</v>
      </c>
      <c r="C12" s="241" t="s">
        <v>251</v>
      </c>
      <c r="D12" s="241" t="s">
        <v>252</v>
      </c>
      <c r="E12" s="242">
        <v>2.69</v>
      </c>
      <c r="F12" s="359"/>
    </row>
    <row r="13" spans="2:6" ht="15.5" x14ac:dyDescent="0.35">
      <c r="B13" s="244"/>
      <c r="C13" s="244"/>
      <c r="D13" s="244"/>
      <c r="E13" s="244"/>
      <c r="F13" s="241"/>
    </row>
    <row r="14" spans="2:6" ht="18.5" x14ac:dyDescent="0.45">
      <c r="B14" s="355" t="s">
        <v>253</v>
      </c>
      <c r="C14" s="355"/>
      <c r="D14" s="355"/>
      <c r="E14" s="356"/>
      <c r="F14" s="241"/>
    </row>
    <row r="15" spans="2:6" ht="15.5" x14ac:dyDescent="0.35">
      <c r="B15" s="245">
        <v>1</v>
      </c>
      <c r="C15" s="241" t="s">
        <v>254</v>
      </c>
      <c r="D15" s="246">
        <v>0.47</v>
      </c>
      <c r="E15" s="357" t="s">
        <v>255</v>
      </c>
      <c r="F15" s="360" t="s">
        <v>244</v>
      </c>
    </row>
    <row r="16" spans="2:6" ht="15.5" x14ac:dyDescent="0.35">
      <c r="B16" s="245">
        <v>2</v>
      </c>
      <c r="C16" s="241" t="s">
        <v>256</v>
      </c>
      <c r="D16" s="246">
        <v>0.09</v>
      </c>
      <c r="E16" s="358"/>
      <c r="F16" s="361"/>
    </row>
    <row r="17" spans="2:6" ht="15.5" x14ac:dyDescent="0.35">
      <c r="B17" s="245">
        <v>3</v>
      </c>
      <c r="C17" s="241" t="s">
        <v>257</v>
      </c>
      <c r="D17" s="246">
        <v>0.36</v>
      </c>
      <c r="E17" s="358"/>
      <c r="F17" s="361"/>
    </row>
    <row r="18" spans="2:6" ht="15.5" x14ac:dyDescent="0.35">
      <c r="B18" s="245">
        <v>4</v>
      </c>
      <c r="C18" s="241" t="s">
        <v>258</v>
      </c>
      <c r="D18" s="246">
        <v>0.44</v>
      </c>
      <c r="E18" s="359"/>
      <c r="F18" s="362"/>
    </row>
  </sheetData>
  <mergeCells count="6">
    <mergeCell ref="B2:F2"/>
    <mergeCell ref="B4:E4"/>
    <mergeCell ref="F6:F12"/>
    <mergeCell ref="B14:E14"/>
    <mergeCell ref="E15:E18"/>
    <mergeCell ref="F15:F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110" zoomScaleNormal="110" workbookViewId="0">
      <selection activeCell="A19" sqref="A19"/>
    </sheetView>
  </sheetViews>
  <sheetFormatPr defaultRowHeight="15.5" x14ac:dyDescent="0.35"/>
  <cols>
    <col min="1" max="1" width="4.25" style="217" customWidth="1"/>
    <col min="2" max="2" width="25.58203125" style="217" bestFit="1" customWidth="1"/>
    <col min="3" max="3" width="12.58203125" style="217" bestFit="1" customWidth="1"/>
    <col min="4" max="9" width="12.4140625" style="217" bestFit="1" customWidth="1"/>
    <col min="10" max="10" width="8.6640625" style="217"/>
    <col min="11" max="11" width="12.4140625" style="217" bestFit="1" customWidth="1"/>
    <col min="12" max="16384" width="8.6640625" style="217"/>
  </cols>
  <sheetData>
    <row r="1" spans="1:7" ht="17" customHeight="1" x14ac:dyDescent="0.35">
      <c r="A1" s="351" t="s">
        <v>215</v>
      </c>
      <c r="B1" s="351"/>
      <c r="C1" s="351"/>
      <c r="D1" s="351"/>
      <c r="E1" s="351"/>
      <c r="F1" s="351"/>
      <c r="G1" s="351"/>
    </row>
    <row r="3" spans="1:7" x14ac:dyDescent="0.35">
      <c r="A3" s="234" t="s">
        <v>216</v>
      </c>
      <c r="B3" s="234" t="s">
        <v>217</v>
      </c>
      <c r="C3" s="234">
        <v>2021</v>
      </c>
      <c r="D3" s="234">
        <v>2022</v>
      </c>
      <c r="E3" s="234">
        <v>2023</v>
      </c>
      <c r="F3" s="234">
        <v>2024</v>
      </c>
      <c r="G3" s="234">
        <v>2025</v>
      </c>
    </row>
    <row r="4" spans="1:7" x14ac:dyDescent="0.35">
      <c r="A4" s="219">
        <v>1</v>
      </c>
      <c r="B4" s="235" t="s">
        <v>218</v>
      </c>
      <c r="C4" s="233">
        <f>'LLIN requirement summary'!E5+'LLIN requirement summary'!E6+'LLIN requirement summary'!E7</f>
        <v>202495.57315218702</v>
      </c>
      <c r="D4" s="233">
        <f>'LLIN requirement summary'!F5+'LLIN requirement summary'!F6+'LLIN requirement summary'!F7</f>
        <v>262785.01893580763</v>
      </c>
      <c r="E4" s="233">
        <f>'LLIN requirement summary'!G5+'LLIN requirement summary'!G6+'LLIN requirement summary'!G7</f>
        <v>1063407.4368157729</v>
      </c>
      <c r="F4" s="233">
        <f>'LLIN requirement summary'!H5+'LLIN requirement summary'!H6+'LLIN requirement summary'!H7</f>
        <v>280181.97479884862</v>
      </c>
      <c r="G4" s="233">
        <f>'LLIN requirement summary'!I5+'LLIN requirement summary'!I6+'LLIN requirement summary'!I7</f>
        <v>372972.98578479968</v>
      </c>
    </row>
    <row r="5" spans="1:7" x14ac:dyDescent="0.35">
      <c r="A5" s="219">
        <v>2</v>
      </c>
      <c r="B5" s="235" t="s">
        <v>219</v>
      </c>
      <c r="C5" s="233">
        <f>'LLIN requirement summary'!E4</f>
        <v>102549.13625567489</v>
      </c>
      <c r="D5" s="233">
        <f>'LLIN requirement summary'!F4</f>
        <v>104451.619153376</v>
      </c>
      <c r="E5" s="233">
        <f>'LLIN requirement summary'!G4</f>
        <v>106394.09752117895</v>
      </c>
      <c r="F5" s="288">
        <f>'LLIN requirement summary'!H4</f>
        <v>108377.48280697962</v>
      </c>
      <c r="G5" s="288">
        <f>'LLIN requirement summary'!I4</f>
        <v>110402.70893436419</v>
      </c>
    </row>
    <row r="6" spans="1:7" x14ac:dyDescent="0.35">
      <c r="A6" s="219">
        <v>3</v>
      </c>
      <c r="B6" s="235" t="s">
        <v>228</v>
      </c>
      <c r="C6" s="233">
        <f>RDT!B68</f>
        <v>1420116.5228849698</v>
      </c>
      <c r="D6" s="233">
        <f>RDT!C68</f>
        <v>1443128.6984760996</v>
      </c>
      <c r="E6" s="233">
        <f>RDT!D68</f>
        <v>1466722.7166435465</v>
      </c>
      <c r="F6" s="288">
        <f>RDT!E68</f>
        <v>1499975.430847462</v>
      </c>
      <c r="G6" s="288">
        <f>RDT!F68</f>
        <v>1533847.0204851597</v>
      </c>
    </row>
    <row r="7" spans="1:7" x14ac:dyDescent="0.35">
      <c r="A7" s="219">
        <v>4</v>
      </c>
      <c r="B7" s="235" t="s">
        <v>235</v>
      </c>
      <c r="C7" s="233">
        <f>RDT!B76+RDT!B90</f>
        <v>2398058.2614424843</v>
      </c>
      <c r="D7" s="233">
        <f>RDT!C76+RDT!C90</f>
        <v>2409564.3492380497</v>
      </c>
      <c r="E7" s="233">
        <f>RDT!D76+RDT!D90</f>
        <v>2421361.3583217729</v>
      </c>
      <c r="F7" s="288">
        <f>RDT!E76+RDT!E90</f>
        <v>2437987.7154237307</v>
      </c>
      <c r="G7" s="288">
        <f>RDT!F76+RDT!F90</f>
        <v>2454923.5102425795</v>
      </c>
    </row>
    <row r="8" spans="1:7" x14ac:dyDescent="0.35">
      <c r="A8" s="219">
        <v>5</v>
      </c>
      <c r="B8" s="235" t="s">
        <v>233</v>
      </c>
      <c r="C8" s="233">
        <f>antimalarials!D158+antimalarials!D190</f>
        <v>7529.7025744654857</v>
      </c>
      <c r="D8" s="233">
        <f>antimalarials!E158+antimalarials!E190</f>
        <v>626.81199873524736</v>
      </c>
      <c r="E8" s="233">
        <f>antimalarials!F158+antimalarials!F190</f>
        <v>7117.5073024980175</v>
      </c>
      <c r="F8" s="288">
        <f>antimalarials!G158+antimalarials!G190</f>
        <v>240.22650916488527</v>
      </c>
      <c r="G8" s="288">
        <f>antimalarials!H158+antimalarials!H190</f>
        <v>6819.4812930066228</v>
      </c>
    </row>
    <row r="9" spans="1:7" x14ac:dyDescent="0.35">
      <c r="A9" s="219">
        <v>6</v>
      </c>
      <c r="B9" s="235" t="s">
        <v>234</v>
      </c>
      <c r="C9" s="233">
        <f>antimalarials!D159+antimalarials!D191</f>
        <v>8820.4927595776244</v>
      </c>
      <c r="D9" s="233">
        <f>antimalarials!E159+antimalarials!E191</f>
        <v>1603.1366787929137</v>
      </c>
      <c r="E9" s="233">
        <f>antimalarials!F159+antimalarials!F191</f>
        <v>7766.2606123797214</v>
      </c>
      <c r="F9" s="288">
        <f>antimalarials!G159+antimalarials!G191</f>
        <v>614.4042054677941</v>
      </c>
      <c r="G9" s="288">
        <f>antimalarials!H159+antimalarials!H191</f>
        <v>7004.0281917911325</v>
      </c>
    </row>
    <row r="10" spans="1:7" x14ac:dyDescent="0.35">
      <c r="A10" s="219">
        <v>7</v>
      </c>
      <c r="B10" s="235" t="s">
        <v>231</v>
      </c>
      <c r="C10" s="233">
        <f>antimalarials!D160+antimalarials!D192</f>
        <v>9416.242075783226</v>
      </c>
      <c r="D10" s="233">
        <f>antimalarials!E160+antimalarials!E192</f>
        <v>2053.7480695887598</v>
      </c>
      <c r="E10" s="233">
        <f>antimalarials!F160+antimalarials!F192</f>
        <v>8065.6852169405083</v>
      </c>
      <c r="F10" s="288">
        <f>antimalarials!G160+antimalarials!G192</f>
        <v>787.10160376144438</v>
      </c>
      <c r="G10" s="288">
        <f>antimalarials!H160+antimalarials!H192</f>
        <v>7089.2036835378294</v>
      </c>
    </row>
    <row r="11" spans="1:7" x14ac:dyDescent="0.35">
      <c r="A11" s="219">
        <v>8</v>
      </c>
      <c r="B11" s="235" t="s">
        <v>232</v>
      </c>
      <c r="C11" s="233">
        <f>antimalarials!D161+antimalarials!D193</f>
        <v>22904.617619617766</v>
      </c>
      <c r="D11" s="233">
        <f>antimalarials!E161+antimalarials!E193</f>
        <v>12256.052122735735</v>
      </c>
      <c r="E11" s="233">
        <f>antimalarials!F161+antimalarials!F193</f>
        <v>14844.965366355242</v>
      </c>
      <c r="F11" s="288">
        <f>antimalarials!G161+antimalarials!G193</f>
        <v>4697.1478266663971</v>
      </c>
      <c r="G11" s="288">
        <f>antimalarials!H161+antimalarials!H193</f>
        <v>9017.6641761617593</v>
      </c>
    </row>
    <row r="12" spans="1:7" x14ac:dyDescent="0.35">
      <c r="A12" s="219">
        <v>9</v>
      </c>
      <c r="B12" s="235" t="s">
        <v>229</v>
      </c>
      <c r="C12" s="233">
        <f>antimalarials!D162+antimalarials!D194</f>
        <v>91876.716869457159</v>
      </c>
      <c r="D12" s="233">
        <f>antimalarials!E162+antimalarials!E194</f>
        <v>18808.625655569391</v>
      </c>
      <c r="E12" s="233">
        <f>antimalarials!F162+antimalarials!F194</f>
        <v>12498.053565188853</v>
      </c>
      <c r="F12" s="288">
        <f>antimalarials!G162+antimalarials!G194</f>
        <v>7208.4301075017984</v>
      </c>
      <c r="G12" s="288">
        <f>antimalarials!H162+antimalarials!H194</f>
        <v>3555.2451003584974</v>
      </c>
    </row>
    <row r="13" spans="1:7" x14ac:dyDescent="0.35">
      <c r="A13" s="219">
        <v>10</v>
      </c>
      <c r="B13" s="235" t="s">
        <v>230</v>
      </c>
      <c r="C13" s="233">
        <f>antimalarials!D163+antimalarials!D195</f>
        <v>12333.662853120888</v>
      </c>
      <c r="D13" s="233">
        <f>antimalarials!E163+antimalarials!E195</f>
        <v>4260.4195642130589</v>
      </c>
      <c r="E13" s="233">
        <f>antimalarials!F163+antimalarials!F195</f>
        <v>2830.9857880523286</v>
      </c>
      <c r="F13" s="288">
        <f>antimalarials!G163+antimalarials!G195</f>
        <v>1632.8113079420741</v>
      </c>
      <c r="G13" s="288">
        <f>antimalarials!H163+antimalarials!H195</f>
        <v>805.3132673548032</v>
      </c>
    </row>
    <row r="14" spans="1:7" x14ac:dyDescent="0.35">
      <c r="A14" s="219">
        <v>11</v>
      </c>
      <c r="B14" s="235" t="s">
        <v>227</v>
      </c>
      <c r="C14" s="233">
        <f>antimalarials!D164+antimalarials!D196</f>
        <v>11607.18834306833</v>
      </c>
      <c r="D14" s="233">
        <f>antimalarials!E164+antimalarials!E196</f>
        <v>6839.3080013235412</v>
      </c>
      <c r="E14" s="233">
        <f>antimalarials!F164+antimalarials!F196</f>
        <v>4544.6190122910757</v>
      </c>
      <c r="F14" s="288">
        <f>antimalarials!G164+antimalarials!G196</f>
        <v>5186.1736367149306</v>
      </c>
      <c r="G14" s="288">
        <f>antimalarials!H164+antimalarials!H196</f>
        <v>1292.7800630849492</v>
      </c>
    </row>
    <row r="17" spans="2:11" hidden="1" x14ac:dyDescent="0.35">
      <c r="B17" s="217" t="s">
        <v>287</v>
      </c>
      <c r="C17" s="260">
        <f>RDT!B68</f>
        <v>1420116.5228849698</v>
      </c>
      <c r="D17" s="260">
        <f>RDT!C68</f>
        <v>1443128.6984760996</v>
      </c>
      <c r="E17" s="260">
        <f>RDT!D68</f>
        <v>1466722.7166435465</v>
      </c>
      <c r="F17" s="260">
        <f>RDT!E68</f>
        <v>1499975.430847462</v>
      </c>
      <c r="G17" s="260">
        <f>RDT!F68</f>
        <v>1533847.0204851597</v>
      </c>
      <c r="J17" s="217">
        <f>15/84.47</f>
        <v>0.17757783828578194</v>
      </c>
    </row>
    <row r="18" spans="2:11" hidden="1" x14ac:dyDescent="0.35">
      <c r="B18" s="217" t="s">
        <v>288</v>
      </c>
      <c r="C18" s="217">
        <f>RDT!B84</f>
        <v>211000</v>
      </c>
      <c r="D18" s="217">
        <f>RDT!C84</f>
        <v>211000</v>
      </c>
      <c r="E18" s="217">
        <f>RDT!D84</f>
        <v>211000</v>
      </c>
      <c r="F18" s="217">
        <f>RDT!E84</f>
        <v>211000</v>
      </c>
      <c r="G18" s="217">
        <f>RDT!F84</f>
        <v>211000</v>
      </c>
    </row>
    <row r="21" spans="2:11" hidden="1" x14ac:dyDescent="0.35">
      <c r="B21" s="289" t="s">
        <v>251</v>
      </c>
      <c r="C21" s="290">
        <v>2021</v>
      </c>
      <c r="D21" s="290">
        <v>2022</v>
      </c>
      <c r="E21" s="290">
        <v>2023</v>
      </c>
      <c r="F21" s="289"/>
      <c r="G21" s="289"/>
      <c r="H21" s="289"/>
      <c r="I21" s="289"/>
    </row>
    <row r="22" spans="2:11" hidden="1" x14ac:dyDescent="0.35">
      <c r="B22" s="217" t="s">
        <v>335</v>
      </c>
      <c r="C22" s="260">
        <v>72605.620008703598</v>
      </c>
      <c r="D22" s="260">
        <v>73886.945633039737</v>
      </c>
      <c r="E22" s="260">
        <v>75194.297526301103</v>
      </c>
      <c r="F22" s="260">
        <f>SUM(C22:E22)</f>
        <v>221686.86316804442</v>
      </c>
      <c r="G22" s="260">
        <f>F22+F23</f>
        <v>1614551.0125370035</v>
      </c>
      <c r="H22" s="217">
        <f>G22*2.69</f>
        <v>4343142.2237245394</v>
      </c>
      <c r="I22" s="287">
        <f>H22*1.09</f>
        <v>4734025.0238597486</v>
      </c>
      <c r="J22" s="217">
        <f>G22*J17</f>
        <v>286708.47860844148</v>
      </c>
      <c r="K22" s="286">
        <f>I22+J22</f>
        <v>5020733.5024681902</v>
      </c>
    </row>
    <row r="23" spans="2:11" hidden="1" x14ac:dyDescent="0.35">
      <c r="B23" s="217" t="s">
        <v>132</v>
      </c>
      <c r="C23" s="260">
        <v>135159.7843196874</v>
      </c>
      <c r="D23" s="260">
        <v>239757.32209322322</v>
      </c>
      <c r="E23" s="260">
        <v>1017947.0429560484</v>
      </c>
      <c r="F23" s="260">
        <f>SUM(C23:E23)</f>
        <v>1392864.149368959</v>
      </c>
    </row>
    <row r="24" spans="2:11" hidden="1" x14ac:dyDescent="0.35">
      <c r="B24" s="217" t="s">
        <v>220</v>
      </c>
      <c r="C24" s="286">
        <f>C6*0.2</f>
        <v>284023.30457699398</v>
      </c>
      <c r="D24" s="286">
        <f t="shared" ref="D24:E24" si="0">D6*0.2</f>
        <v>288625.73969521996</v>
      </c>
      <c r="E24" s="286">
        <f t="shared" si="0"/>
        <v>293344.54332870932</v>
      </c>
      <c r="G24" s="286">
        <f>C24+D24+E24</f>
        <v>865993.58760092326</v>
      </c>
      <c r="H24" s="286">
        <f>G24*0.3</f>
        <v>259798.07628027696</v>
      </c>
      <c r="I24" s="286">
        <f>H24*1.44</f>
        <v>374109.22984359879</v>
      </c>
      <c r="K24" s="286">
        <f>K22+I24</f>
        <v>5394842.7323117889</v>
      </c>
    </row>
    <row r="25" spans="2:11" hidden="1" x14ac:dyDescent="0.35">
      <c r="B25" s="217" t="s">
        <v>37</v>
      </c>
      <c r="K25" s="217">
        <v>150000</v>
      </c>
    </row>
    <row r="26" spans="2:11" hidden="1" x14ac:dyDescent="0.35">
      <c r="K26" s="286">
        <f>K24+K25</f>
        <v>5544842.7323117889</v>
      </c>
    </row>
    <row r="27" spans="2:11" hidden="1" x14ac:dyDescent="0.35">
      <c r="B27" s="217" t="s">
        <v>343</v>
      </c>
      <c r="C27" s="294">
        <v>366315.39453134988</v>
      </c>
      <c r="D27" s="294">
        <v>178039.93775520142</v>
      </c>
      <c r="E27" s="294">
        <v>312412.73146418494</v>
      </c>
    </row>
    <row r="28" spans="2:11" hidden="1" x14ac:dyDescent="0.35">
      <c r="C28" s="294"/>
      <c r="D28" s="294"/>
      <c r="E28" s="294"/>
    </row>
    <row r="29" spans="2:11" hidden="1" x14ac:dyDescent="0.35">
      <c r="B29" s="217" t="s">
        <v>340</v>
      </c>
      <c r="C29" s="294">
        <v>129275.34511791001</v>
      </c>
      <c r="D29" s="294">
        <v>131710.75021666379</v>
      </c>
      <c r="E29" s="294">
        <v>134199.93272598792</v>
      </c>
    </row>
    <row r="30" spans="2:11" hidden="1" x14ac:dyDescent="0.35">
      <c r="B30" s="217" t="s">
        <v>341</v>
      </c>
      <c r="C30" s="294">
        <v>135159.7843196874</v>
      </c>
      <c r="D30" s="294">
        <v>239757.32209322322</v>
      </c>
      <c r="E30" s="294">
        <v>1017947.0429560484</v>
      </c>
    </row>
    <row r="31" spans="2:11" hidden="1" x14ac:dyDescent="0.35">
      <c r="B31" s="217" t="s">
        <v>342</v>
      </c>
      <c r="C31" s="294">
        <v>111236.37418024996</v>
      </c>
      <c r="D31" s="294">
        <v>36127.129764462152</v>
      </c>
      <c r="E31" s="294">
        <v>66426.943134212896</v>
      </c>
    </row>
    <row r="32" spans="2:11" hidden="1" x14ac:dyDescent="0.35">
      <c r="B32" s="217" t="s">
        <v>344</v>
      </c>
      <c r="C32" s="294">
        <f>C30+C31</f>
        <v>246396.15849993736</v>
      </c>
      <c r="D32" s="294">
        <f t="shared" ref="D32:E32" si="1">D30+D31</f>
        <v>275884.45185768534</v>
      </c>
      <c r="E32" s="294">
        <f t="shared" si="1"/>
        <v>1084373.9860902613</v>
      </c>
    </row>
    <row r="33" spans="2:8" hidden="1" x14ac:dyDescent="0.35">
      <c r="C33" s="294">
        <f>C29+C32</f>
        <v>375671.50361784734</v>
      </c>
      <c r="D33" s="294">
        <f t="shared" ref="D33:E33" si="2">D29+D32</f>
        <v>407595.20207434916</v>
      </c>
      <c r="E33" s="294">
        <f t="shared" si="2"/>
        <v>1218573.9188162491</v>
      </c>
    </row>
    <row r="34" spans="2:8" hidden="1" x14ac:dyDescent="0.35">
      <c r="B34" s="217" t="s">
        <v>345</v>
      </c>
      <c r="C34" s="294">
        <f>C27-C31</f>
        <v>255079.02035109993</v>
      </c>
      <c r="D34" s="294">
        <f t="shared" ref="D34:E34" si="3">D27-D31</f>
        <v>141912.80799073927</v>
      </c>
      <c r="E34" s="294">
        <f t="shared" si="3"/>
        <v>245985.78832997204</v>
      </c>
      <c r="F34" s="295">
        <f>C34+D34+E34</f>
        <v>642977.61667181121</v>
      </c>
      <c r="G34" s="286">
        <f>F34*2.64</f>
        <v>1697460.9080135818</v>
      </c>
      <c r="H34" s="286">
        <f>G34*1.09</f>
        <v>1850232.3897348042</v>
      </c>
    </row>
  </sheetData>
  <mergeCells count="1">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I19" sqref="I19:I21"/>
    </sheetView>
  </sheetViews>
  <sheetFormatPr defaultRowHeight="14.5" x14ac:dyDescent="0.35"/>
  <cols>
    <col min="1" max="1" width="22" style="275" bestFit="1" customWidth="1"/>
    <col min="2" max="2" width="8.6640625" style="275"/>
    <col min="3" max="3" width="10.83203125" style="275" bestFit="1" customWidth="1"/>
    <col min="4" max="4" width="8.6640625" style="275"/>
    <col min="5" max="5" width="8.1640625" style="275" bestFit="1" customWidth="1"/>
    <col min="6" max="7" width="10.1640625" style="275" bestFit="1" customWidth="1"/>
    <col min="8" max="8" width="11.5" style="275" bestFit="1" customWidth="1"/>
    <col min="9" max="9" width="12.5" style="275" bestFit="1" customWidth="1"/>
    <col min="10" max="10" width="8.6640625" style="275"/>
    <col min="11" max="11" width="13.5" style="275" bestFit="1" customWidth="1"/>
    <col min="12" max="14" width="8.6640625" style="275"/>
    <col min="15" max="17" width="0" style="275" hidden="1" customWidth="1"/>
    <col min="18" max="16384" width="8.6640625" style="275"/>
  </cols>
  <sheetData>
    <row r="1" spans="1:17" x14ac:dyDescent="0.35">
      <c r="B1" s="275" t="s">
        <v>71</v>
      </c>
      <c r="C1" s="275" t="s">
        <v>72</v>
      </c>
      <c r="D1" s="275" t="s">
        <v>73</v>
      </c>
      <c r="E1" s="291" t="s">
        <v>240</v>
      </c>
      <c r="F1" s="291" t="s">
        <v>336</v>
      </c>
      <c r="G1" s="291" t="s">
        <v>337</v>
      </c>
      <c r="H1" s="291" t="s">
        <v>338</v>
      </c>
      <c r="I1" s="291" t="s">
        <v>339</v>
      </c>
      <c r="K1" s="291" t="s">
        <v>2</v>
      </c>
    </row>
    <row r="2" spans="1:17" ht="15.5" x14ac:dyDescent="0.35">
      <c r="A2" s="275" t="s">
        <v>295</v>
      </c>
      <c r="B2" s="276">
        <f>'Quantification summary'!C4</f>
        <v>202495.57315218702</v>
      </c>
      <c r="C2" s="276">
        <f>'Quantification summary'!D4</f>
        <v>262785.01893580763</v>
      </c>
      <c r="D2" s="276">
        <f>'Quantification summary'!E4</f>
        <v>1063407.4368157729</v>
      </c>
      <c r="E2" s="277">
        <v>2.69</v>
      </c>
      <c r="F2" s="300">
        <f>B2*$E$2</f>
        <v>544713.09177938302</v>
      </c>
      <c r="G2" s="300">
        <f>C2*$E$2</f>
        <v>706891.70093732246</v>
      </c>
      <c r="H2" s="300">
        <f>D2*$E$2</f>
        <v>2860566.005034429</v>
      </c>
      <c r="I2" s="30">
        <f>SUM(F2:H2)</f>
        <v>4112170.7977511343</v>
      </c>
      <c r="K2" s="301">
        <f>SUM(I2:I21)</f>
        <v>9567022.8630725741</v>
      </c>
    </row>
    <row r="3" spans="1:17" ht="15.5" x14ac:dyDescent="0.35">
      <c r="A3" s="275" t="s">
        <v>296</v>
      </c>
      <c r="B3" s="276">
        <f>'Quantification summary'!C5</f>
        <v>102549.13625567489</v>
      </c>
      <c r="C3" s="276">
        <f>'Quantification summary'!D5</f>
        <v>104451.619153376</v>
      </c>
      <c r="D3" s="276">
        <f>'Quantification summary'!E5</f>
        <v>106394.09752117895</v>
      </c>
      <c r="E3" s="277">
        <f>E2</f>
        <v>2.69</v>
      </c>
      <c r="F3" s="300">
        <f>B3*$E$3</f>
        <v>275857.17652776546</v>
      </c>
      <c r="G3" s="300">
        <f>C3*$E$3</f>
        <v>280974.85552258143</v>
      </c>
      <c r="H3" s="300">
        <f>D3*$E$3</f>
        <v>286200.12233197136</v>
      </c>
      <c r="I3" s="30">
        <f t="shared" ref="I3:I17" si="0">SUM(F3:H3)</f>
        <v>843032.15438231826</v>
      </c>
    </row>
    <row r="4" spans="1:17" ht="15.5" x14ac:dyDescent="0.35">
      <c r="A4" s="275" t="s">
        <v>297</v>
      </c>
      <c r="B4" s="276">
        <f t="shared" ref="B4:D5" si="1">B2</f>
        <v>202495.57315218702</v>
      </c>
      <c r="C4" s="276">
        <f t="shared" si="1"/>
        <v>262785.01893580763</v>
      </c>
      <c r="D4" s="276">
        <f t="shared" si="1"/>
        <v>1063407.4368157729</v>
      </c>
      <c r="E4" s="277">
        <f>E2*0.09</f>
        <v>0.24209999999999998</v>
      </c>
      <c r="F4" s="300">
        <f>B4*$E$4</f>
        <v>49024.178260144472</v>
      </c>
      <c r="G4" s="300">
        <f>C4*$E$4</f>
        <v>63620.253084359021</v>
      </c>
      <c r="H4" s="300">
        <f>D4*$E$4</f>
        <v>257450.94045309859</v>
      </c>
      <c r="I4" s="30">
        <f t="shared" si="0"/>
        <v>370095.3717976021</v>
      </c>
      <c r="O4" s="275">
        <v>28399.955684941175</v>
      </c>
      <c r="P4" s="275">
        <v>30671.95213973647</v>
      </c>
      <c r="Q4" s="275">
        <v>33125.70831091539</v>
      </c>
    </row>
    <row r="5" spans="1:17" ht="15.5" x14ac:dyDescent="0.35">
      <c r="A5" s="275" t="s">
        <v>298</v>
      </c>
      <c r="B5" s="276">
        <f t="shared" si="1"/>
        <v>102549.13625567489</v>
      </c>
      <c r="C5" s="276">
        <f t="shared" si="1"/>
        <v>104451.619153376</v>
      </c>
      <c r="D5" s="276">
        <f t="shared" si="1"/>
        <v>106394.09752117895</v>
      </c>
      <c r="E5" s="277">
        <f>E3*0.09</f>
        <v>0.24209999999999998</v>
      </c>
      <c r="F5" s="300">
        <f>B5*$E$5</f>
        <v>24827.145887498889</v>
      </c>
      <c r="G5" s="300">
        <f>C5*$E$5</f>
        <v>25287.736997032327</v>
      </c>
      <c r="H5" s="300">
        <f>D5*$E$5</f>
        <v>25758.01100987742</v>
      </c>
      <c r="I5" s="30">
        <f t="shared" si="0"/>
        <v>75872.89389440864</v>
      </c>
      <c r="O5" s="275">
        <v>28399.955684941175</v>
      </c>
      <c r="P5" s="275">
        <v>30671.95213973647</v>
      </c>
      <c r="Q5" s="275">
        <v>33125.70831091539</v>
      </c>
    </row>
    <row r="6" spans="1:17" ht="15.5" x14ac:dyDescent="0.35">
      <c r="A6" s="275" t="s">
        <v>220</v>
      </c>
      <c r="B6" s="275">
        <f>'Quantification summary'!C6</f>
        <v>1420116.5228849698</v>
      </c>
      <c r="C6" s="276">
        <f>'Quantification summary'!D6</f>
        <v>1443128.6984760996</v>
      </c>
      <c r="D6" s="275">
        <f>'Quantification summary'!E6</f>
        <v>1466722.7166435465</v>
      </c>
      <c r="E6" s="275">
        <v>0.34</v>
      </c>
      <c r="F6" s="300">
        <f>B6*$E$6</f>
        <v>482839.61778088979</v>
      </c>
      <c r="G6" s="300">
        <f>C6*$E$6</f>
        <v>490663.75748187391</v>
      </c>
      <c r="H6" s="300">
        <f>D6*$E$6</f>
        <v>498685.72365880583</v>
      </c>
      <c r="I6" s="30">
        <f t="shared" si="0"/>
        <v>1472189.0989215695</v>
      </c>
      <c r="O6" s="275">
        <v>28399.955684941175</v>
      </c>
      <c r="P6" s="275">
        <v>30671.95213973647</v>
      </c>
      <c r="Q6" s="275">
        <v>33125.70831091539</v>
      </c>
    </row>
    <row r="7" spans="1:17" ht="15.5" x14ac:dyDescent="0.35">
      <c r="A7" s="275" t="s">
        <v>299</v>
      </c>
      <c r="B7" s="275">
        <f>B6</f>
        <v>1420116.5228849698</v>
      </c>
      <c r="C7" s="276">
        <f>C6</f>
        <v>1443128.6984760996</v>
      </c>
      <c r="D7" s="275">
        <f>D6</f>
        <v>1466722.7166435465</v>
      </c>
      <c r="E7" s="277">
        <f>E6*0.44</f>
        <v>0.14960000000000001</v>
      </c>
      <c r="F7" s="300">
        <f>B7*$E$7</f>
        <v>212449.4318235915</v>
      </c>
      <c r="G7" s="300">
        <f>C7*$E$7</f>
        <v>215892.05329202453</v>
      </c>
      <c r="H7" s="300">
        <f>D7*$E$7</f>
        <v>219421.71840987456</v>
      </c>
      <c r="I7" s="30">
        <f t="shared" si="0"/>
        <v>647763.20352549059</v>
      </c>
      <c r="O7" s="275">
        <v>13839.030481161599</v>
      </c>
      <c r="P7" s="275">
        <v>14946.152919654527</v>
      </c>
      <c r="Q7" s="275">
        <v>16141.84515322689</v>
      </c>
    </row>
    <row r="8" spans="1:17" ht="15.5" x14ac:dyDescent="0.35">
      <c r="A8" s="275" t="s">
        <v>300</v>
      </c>
      <c r="B8" s="276">
        <f>'Quantification summary'!C8</f>
        <v>7529.7025744654857</v>
      </c>
      <c r="C8" s="276">
        <f>'Quantification summary'!D8</f>
        <v>626.81199873524736</v>
      </c>
      <c r="D8" s="276">
        <f>'Quantification summary'!E8</f>
        <v>7117.5073024980175</v>
      </c>
      <c r="E8" s="277">
        <v>0.3</v>
      </c>
      <c r="F8" s="300">
        <f>B8*$E$8</f>
        <v>2258.9107723396455</v>
      </c>
      <c r="G8" s="300">
        <f>C8*$E$8</f>
        <v>188.04359962057421</v>
      </c>
      <c r="H8" s="300">
        <f>D8*$E$8</f>
        <v>2135.2521907494051</v>
      </c>
      <c r="I8" s="30">
        <f t="shared" si="0"/>
        <v>4582.2065627096254</v>
      </c>
      <c r="O8" s="275">
        <v>7794.155934117648</v>
      </c>
      <c r="P8" s="275">
        <v>8417.6884088470597</v>
      </c>
      <c r="Q8" s="275">
        <v>9091.1034815548246</v>
      </c>
    </row>
    <row r="9" spans="1:17" ht="15.5" x14ac:dyDescent="0.35">
      <c r="A9" s="275" t="s">
        <v>301</v>
      </c>
      <c r="B9" s="276">
        <f>'Quantification summary'!C9</f>
        <v>8820.4927595776244</v>
      </c>
      <c r="C9" s="276">
        <f>'Quantification summary'!D9</f>
        <v>1603.1366787929137</v>
      </c>
      <c r="D9" s="276">
        <f>'Quantification summary'!E9</f>
        <v>7766.2606123797214</v>
      </c>
      <c r="E9" s="277">
        <v>0.48</v>
      </c>
      <c r="F9" s="300">
        <f>B9*$E$9</f>
        <v>4233.83652459726</v>
      </c>
      <c r="G9" s="300">
        <f>C9*$E$9</f>
        <v>769.50560582059859</v>
      </c>
      <c r="H9" s="300">
        <f>D9*$E$9</f>
        <v>3727.805093942266</v>
      </c>
      <c r="I9" s="30">
        <f t="shared" si="0"/>
        <v>8731.1472243601238</v>
      </c>
      <c r="O9" s="275">
        <v>28399.955684941175</v>
      </c>
      <c r="P9" s="275">
        <v>30671.95213973647</v>
      </c>
      <c r="Q9" s="275">
        <v>33125.70831091539</v>
      </c>
    </row>
    <row r="10" spans="1:17" ht="15.5" x14ac:dyDescent="0.35">
      <c r="A10" s="275" t="s">
        <v>302</v>
      </c>
      <c r="B10" s="276">
        <f>'Quantification summary'!C10</f>
        <v>9416.242075783226</v>
      </c>
      <c r="C10" s="276">
        <f>'Quantification summary'!D10</f>
        <v>2053.7480695887598</v>
      </c>
      <c r="D10" s="276">
        <f>'Quantification summary'!E10</f>
        <v>8065.6852169405083</v>
      </c>
      <c r="E10" s="277">
        <v>0.53</v>
      </c>
      <c r="F10" s="300">
        <f>B10*$E$10</f>
        <v>4990.6083001651104</v>
      </c>
      <c r="G10" s="300">
        <f>C10*$E$10</f>
        <v>1088.4864768820428</v>
      </c>
      <c r="H10" s="300">
        <f>D10*$E$10</f>
        <v>4274.81316497847</v>
      </c>
      <c r="I10" s="30">
        <f t="shared" si="0"/>
        <v>10353.907942025624</v>
      </c>
      <c r="O10" s="275">
        <v>9627.6921468391538</v>
      </c>
      <c r="P10" s="275">
        <v>10397.907518586288</v>
      </c>
      <c r="Q10" s="275">
        <v>11229.740120073191</v>
      </c>
    </row>
    <row r="11" spans="1:17" ht="15.5" x14ac:dyDescent="0.35">
      <c r="A11" s="275" t="s">
        <v>303</v>
      </c>
      <c r="B11" s="276">
        <f>'Quantification summary'!C11</f>
        <v>22904.617619617766</v>
      </c>
      <c r="C11" s="276">
        <f>'Quantification summary'!D11</f>
        <v>12256.052122735735</v>
      </c>
      <c r="D11" s="276">
        <f>'Quantification summary'!E11</f>
        <v>14844.965366355242</v>
      </c>
      <c r="E11" s="277">
        <v>0.61</v>
      </c>
      <c r="F11" s="300">
        <f>B11*$E$11</f>
        <v>13971.816747966837</v>
      </c>
      <c r="G11" s="300">
        <f>C11*$E$11</f>
        <v>7476.1917948687978</v>
      </c>
      <c r="H11" s="300">
        <f>D11*$E$11</f>
        <v>9055.4288734766978</v>
      </c>
      <c r="I11" s="30">
        <f t="shared" si="0"/>
        <v>30503.437416312336</v>
      </c>
      <c r="O11" s="275">
        <v>28399.955684941175</v>
      </c>
      <c r="P11" s="275">
        <v>30671.95213973647</v>
      </c>
      <c r="Q11" s="275">
        <v>33125.70831091539</v>
      </c>
    </row>
    <row r="12" spans="1:17" ht="15.5" x14ac:dyDescent="0.35">
      <c r="A12" s="275" t="s">
        <v>304</v>
      </c>
      <c r="B12" s="276">
        <f t="shared" ref="B12:D15" si="2">B8</f>
        <v>7529.7025744654857</v>
      </c>
      <c r="C12" s="276">
        <f t="shared" si="2"/>
        <v>626.81199873524736</v>
      </c>
      <c r="D12" s="276">
        <f t="shared" si="2"/>
        <v>7117.5073024980175</v>
      </c>
      <c r="E12" s="277">
        <f>E8*0.47</f>
        <v>0.14099999999999999</v>
      </c>
      <c r="F12" s="300">
        <f>B12*$E$12</f>
        <v>1061.6880629996333</v>
      </c>
      <c r="G12" s="300">
        <f>C12*$E$12</f>
        <v>88.380491821669864</v>
      </c>
      <c r="H12" s="300">
        <f>D12*$E$12</f>
        <v>1003.5685296522204</v>
      </c>
      <c r="I12" s="30">
        <f t="shared" si="0"/>
        <v>2153.6370844735238</v>
      </c>
      <c r="O12" s="275">
        <v>28029.791734240102</v>
      </c>
      <c r="P12" s="275">
        <v>30272.175072979313</v>
      </c>
      <c r="Q12" s="275">
        <v>32693.949078817659</v>
      </c>
    </row>
    <row r="13" spans="1:17" ht="15.5" x14ac:dyDescent="0.35">
      <c r="A13" s="275" t="s">
        <v>305</v>
      </c>
      <c r="B13" s="276">
        <f t="shared" si="2"/>
        <v>8820.4927595776244</v>
      </c>
      <c r="C13" s="276">
        <f t="shared" si="2"/>
        <v>1603.1366787929137</v>
      </c>
      <c r="D13" s="276">
        <f t="shared" si="2"/>
        <v>7766.2606123797214</v>
      </c>
      <c r="E13" s="277">
        <f>E9*0.47</f>
        <v>0.22559999999999997</v>
      </c>
      <c r="F13" s="300">
        <f>B13*$E$13</f>
        <v>1989.9031665607117</v>
      </c>
      <c r="G13" s="300">
        <f>C13*$E$13</f>
        <v>361.6676347356813</v>
      </c>
      <c r="H13" s="300">
        <f>D13*$E$13</f>
        <v>1752.0683941528648</v>
      </c>
      <c r="I13" s="30">
        <f t="shared" si="0"/>
        <v>4103.6391954492583</v>
      </c>
      <c r="O13" s="275">
        <v>28883.076440517463</v>
      </c>
      <c r="P13" s="275">
        <v>31193.722555758861</v>
      </c>
      <c r="Q13" s="275">
        <v>33689.220360219573</v>
      </c>
    </row>
    <row r="14" spans="1:17" ht="15.5" x14ac:dyDescent="0.35">
      <c r="A14" s="275" t="s">
        <v>306</v>
      </c>
      <c r="B14" s="276">
        <f t="shared" si="2"/>
        <v>9416.242075783226</v>
      </c>
      <c r="C14" s="276">
        <f t="shared" si="2"/>
        <v>2053.7480695887598</v>
      </c>
      <c r="D14" s="276">
        <f t="shared" si="2"/>
        <v>8065.6852169405083</v>
      </c>
      <c r="E14" s="277">
        <f>E10*0.47</f>
        <v>0.24909999999999999</v>
      </c>
      <c r="F14" s="300">
        <f>B14*$E$14</f>
        <v>2345.5859010776016</v>
      </c>
      <c r="G14" s="300">
        <f>C14*$E$14</f>
        <v>511.58864413456001</v>
      </c>
      <c r="H14" s="300">
        <f>D14*$E$14</f>
        <v>2009.1621875398805</v>
      </c>
      <c r="I14" s="30">
        <f t="shared" si="0"/>
        <v>4866.3367327520427</v>
      </c>
      <c r="O14" s="275">
        <v>24070.302063538824</v>
      </c>
      <c r="P14" s="275">
        <v>25995.926228621931</v>
      </c>
      <c r="Q14" s="275">
        <v>28075.600326911688</v>
      </c>
    </row>
    <row r="15" spans="1:17" ht="15.5" x14ac:dyDescent="0.35">
      <c r="A15" s="275" t="s">
        <v>307</v>
      </c>
      <c r="B15" s="276">
        <f t="shared" si="2"/>
        <v>22904.617619617766</v>
      </c>
      <c r="C15" s="276">
        <f t="shared" si="2"/>
        <v>12256.052122735735</v>
      </c>
      <c r="D15" s="276">
        <f t="shared" si="2"/>
        <v>14844.965366355242</v>
      </c>
      <c r="E15" s="277">
        <f>E11*0.47</f>
        <v>0.28669999999999995</v>
      </c>
      <c r="F15" s="300">
        <f>B15*$E$15</f>
        <v>6566.7538715444125</v>
      </c>
      <c r="G15" s="300">
        <f>C15*$E$15</f>
        <v>3513.8101435883345</v>
      </c>
      <c r="H15" s="300">
        <f>D15*$E$15</f>
        <v>4256.0515705340467</v>
      </c>
      <c r="I15" s="30">
        <f t="shared" si="0"/>
        <v>14336.615585666794</v>
      </c>
      <c r="O15" s="275">
        <v>9627.6921468391538</v>
      </c>
      <c r="P15" s="275">
        <v>10397.907518586288</v>
      </c>
      <c r="Q15" s="275">
        <v>11229.740120073191</v>
      </c>
    </row>
    <row r="16" spans="1:17" ht="15.5" x14ac:dyDescent="0.35">
      <c r="A16" s="275" t="s">
        <v>308</v>
      </c>
      <c r="B16" s="276">
        <f>'Quantification summary'!C14</f>
        <v>11607.18834306833</v>
      </c>
      <c r="C16" s="276">
        <f>'Quantification summary'!D14</f>
        <v>6839.3080013235412</v>
      </c>
      <c r="D16" s="276">
        <f>'Quantification summary'!E14</f>
        <v>4544.6190122910757</v>
      </c>
      <c r="E16" s="277">
        <v>1.45</v>
      </c>
      <c r="F16" s="300">
        <f>B16*$E$16</f>
        <v>16830.423097449078</v>
      </c>
      <c r="G16" s="300">
        <f>C16*$E$16</f>
        <v>9916.9966019191343</v>
      </c>
      <c r="H16" s="300">
        <f>D16*$E$16</f>
        <v>6589.6975678220597</v>
      </c>
      <c r="I16" s="30">
        <f t="shared" si="0"/>
        <v>33337.117267190275</v>
      </c>
      <c r="O16" s="275">
        <v>73761.74117647059</v>
      </c>
      <c r="P16" s="275">
        <v>79662.680470588239</v>
      </c>
      <c r="Q16" s="275">
        <v>86035.694908235309</v>
      </c>
    </row>
    <row r="17" spans="1:17" ht="15.5" x14ac:dyDescent="0.35">
      <c r="A17" s="275" t="s">
        <v>309</v>
      </c>
      <c r="B17" s="276">
        <f>B16</f>
        <v>11607.18834306833</v>
      </c>
      <c r="C17" s="276">
        <f>C16</f>
        <v>6839.3080013235412</v>
      </c>
      <c r="D17" s="276">
        <f>D16</f>
        <v>4544.6190122910757</v>
      </c>
      <c r="E17" s="277">
        <f>E16*0.36</f>
        <v>0.52200000000000002</v>
      </c>
      <c r="F17" s="300">
        <f>B17*$E$17</f>
        <v>6058.9523150816685</v>
      </c>
      <c r="G17" s="300">
        <f>C17*$E$17</f>
        <v>3570.1187766908888</v>
      </c>
      <c r="H17" s="300">
        <f>D17*$E$17</f>
        <v>2372.2911244159418</v>
      </c>
      <c r="I17" s="30">
        <f t="shared" si="0"/>
        <v>12001.3622161885</v>
      </c>
      <c r="O17" s="275">
        <v>19652.554994691109</v>
      </c>
      <c r="P17" s="275">
        <v>21224.759394266399</v>
      </c>
      <c r="Q17" s="275">
        <v>22922.740145807711</v>
      </c>
    </row>
    <row r="18" spans="1:17" ht="15.5" x14ac:dyDescent="0.35">
      <c r="A18" s="275" t="s">
        <v>310</v>
      </c>
      <c r="E18" s="277"/>
      <c r="F18" s="300">
        <v>12927</v>
      </c>
      <c r="G18" s="300">
        <v>12280</v>
      </c>
      <c r="H18" s="300">
        <v>12710</v>
      </c>
      <c r="I18" s="30">
        <f>SUM(F18:H18)</f>
        <v>37917</v>
      </c>
      <c r="O18" s="275">
        <v>22838.708513609225</v>
      </c>
      <c r="P18" s="275">
        <v>24665.805194697961</v>
      </c>
      <c r="Q18" s="275">
        <v>26639.0696102738</v>
      </c>
    </row>
    <row r="19" spans="1:17" ht="15.5" x14ac:dyDescent="0.35">
      <c r="A19" s="275" t="s">
        <v>311</v>
      </c>
      <c r="E19" s="277"/>
      <c r="F19" s="300">
        <v>521806</v>
      </c>
      <c r="G19" s="300">
        <v>567310</v>
      </c>
      <c r="H19" s="300">
        <v>612695</v>
      </c>
      <c r="I19" s="30">
        <f>SUM(F19:H19)</f>
        <v>1701811</v>
      </c>
      <c r="O19" s="275">
        <v>61378.977882352934</v>
      </c>
      <c r="P19" s="275">
        <v>66289.296112941185</v>
      </c>
      <c r="Q19" s="275">
        <v>71592.439801976478</v>
      </c>
    </row>
    <row r="20" spans="1:17" ht="15.5" x14ac:dyDescent="0.35">
      <c r="A20" s="299" t="s">
        <v>353</v>
      </c>
      <c r="E20" s="277"/>
      <c r="F20" s="300">
        <v>19787.446652790532</v>
      </c>
      <c r="G20" s="300">
        <v>20777.018985430059</v>
      </c>
      <c r="H20" s="300">
        <v>21815.469934701563</v>
      </c>
      <c r="I20" s="30">
        <f>SUM(F20:H20)</f>
        <v>62379.93557292215</v>
      </c>
      <c r="O20" s="275">
        <v>13839.030481161599</v>
      </c>
      <c r="P20" s="275">
        <v>14946.152919654527</v>
      </c>
      <c r="Q20" s="275">
        <v>16141.84515322689</v>
      </c>
    </row>
    <row r="21" spans="1:17" x14ac:dyDescent="0.35">
      <c r="A21" s="299" t="s">
        <v>352</v>
      </c>
      <c r="F21" s="300">
        <v>37691</v>
      </c>
      <c r="G21" s="300">
        <v>39576</v>
      </c>
      <c r="H21" s="300">
        <v>41555</v>
      </c>
      <c r="I21" s="300">
        <f>SUM(F21:H21)</f>
        <v>118822</v>
      </c>
      <c r="O21" s="275">
        <v>9627.6921468391538</v>
      </c>
      <c r="P21" s="275">
        <v>10397.907518586288</v>
      </c>
      <c r="Q21" s="275">
        <v>11229.740120073191</v>
      </c>
    </row>
    <row r="22" spans="1:17" x14ac:dyDescent="0.35">
      <c r="O22" s="275">
        <v>24295.786994712857</v>
      </c>
      <c r="P22" s="275">
        <v>26239.449954289885</v>
      </c>
      <c r="Q22" s="275">
        <v>28338.605950633082</v>
      </c>
    </row>
    <row r="23" spans="1:17" x14ac:dyDescent="0.35">
      <c r="O23" s="275">
        <v>18922.729718410166</v>
      </c>
      <c r="P23" s="275">
        <v>20436.548095882979</v>
      </c>
      <c r="Q23" s="275">
        <v>22071.471943553621</v>
      </c>
    </row>
    <row r="24" spans="1:17" x14ac:dyDescent="0.35">
      <c r="O24" s="275">
        <f>SUM(O4:O23)</f>
        <v>508188.74128020753</v>
      </c>
      <c r="P24" s="275">
        <f>SUM(P4:P23)</f>
        <v>548843.84058262396</v>
      </c>
      <c r="Q24" s="275">
        <f>SUM(Q4:Q23)</f>
        <v>592751.34782923409</v>
      </c>
    </row>
    <row r="26" spans="1:17" x14ac:dyDescent="0.35">
      <c r="O26" s="275">
        <v>18896.470588235294</v>
      </c>
      <c r="P26" s="275">
        <v>19841.294117647059</v>
      </c>
      <c r="Q26" s="275">
        <v>20833.358823529416</v>
      </c>
    </row>
    <row r="27" spans="1:17" x14ac:dyDescent="0.35">
      <c r="O27" s="275">
        <v>18560.894117647058</v>
      </c>
      <c r="P27" s="275">
        <v>19488.938823529414</v>
      </c>
      <c r="Q27" s="275">
        <v>20463.385764705883</v>
      </c>
    </row>
    <row r="28" spans="1:17" x14ac:dyDescent="0.35">
      <c r="O28" s="275">
        <f>SUM(O26:O27)</f>
        <v>37457.364705882355</v>
      </c>
      <c r="P28" s="275">
        <f>SUM(P26:P27)</f>
        <v>39330.232941176473</v>
      </c>
      <c r="Q28" s="275">
        <f>SUM(Q26:Q27)</f>
        <v>41296.744588235299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6"/>
  <sheetViews>
    <sheetView zoomScaleNormal="100" workbookViewId="0">
      <selection activeCell="B21" sqref="B21"/>
    </sheetView>
  </sheetViews>
  <sheetFormatPr defaultColWidth="12.5" defaultRowHeight="14.5" x14ac:dyDescent="0.35"/>
  <cols>
    <col min="1" max="1" width="32.75" style="71" bestFit="1" customWidth="1"/>
    <col min="2" max="2" width="17" style="71" customWidth="1"/>
    <col min="3" max="3" width="11.83203125" style="71" customWidth="1"/>
    <col min="4" max="4" width="15.08203125" style="71" customWidth="1"/>
    <col min="5" max="5" width="15.58203125" style="71" customWidth="1"/>
    <col min="6" max="6" width="14.33203125" style="71" customWidth="1"/>
    <col min="7" max="7" width="13.08203125" style="71" bestFit="1" customWidth="1"/>
    <col min="8" max="9" width="13.1640625" style="71" bestFit="1" customWidth="1"/>
    <col min="10" max="10" width="12.33203125" style="71" bestFit="1" customWidth="1"/>
    <col min="11" max="11" width="14.5" style="71" customWidth="1"/>
    <col min="12" max="12" width="15.08203125" style="71" customWidth="1"/>
    <col min="13" max="13" width="14.5" style="71" bestFit="1" customWidth="1"/>
    <col min="14" max="15" width="12.5" style="71"/>
    <col min="16" max="17" width="12.08203125" style="71" bestFit="1" customWidth="1"/>
    <col min="18" max="16384" width="12.5" style="71"/>
  </cols>
  <sheetData>
    <row r="1" spans="1:31" x14ac:dyDescent="0.35">
      <c r="A1" s="70" t="s">
        <v>136</v>
      </c>
      <c r="B1" s="70" t="s">
        <v>391</v>
      </c>
    </row>
    <row r="2" spans="1:31" x14ac:dyDescent="0.35">
      <c r="A2" s="394" t="s">
        <v>86</v>
      </c>
      <c r="B2" s="394"/>
      <c r="C2" s="394"/>
      <c r="D2" s="394"/>
      <c r="E2" s="394"/>
      <c r="F2" s="394"/>
      <c r="G2" s="394"/>
      <c r="H2" s="394"/>
      <c r="I2" s="394"/>
      <c r="J2" s="394"/>
    </row>
    <row r="3" spans="1:31" x14ac:dyDescent="0.35">
      <c r="A3" s="72"/>
    </row>
    <row r="4" spans="1:31" x14ac:dyDescent="0.35">
      <c r="A4" s="73" t="s">
        <v>77</v>
      </c>
      <c r="B4" s="74"/>
      <c r="C4" s="75"/>
      <c r="D4" s="75"/>
      <c r="E4" s="75"/>
      <c r="F4" s="75"/>
      <c r="G4" s="75"/>
      <c r="H4" s="75"/>
      <c r="I4" s="75"/>
      <c r="J4" s="75"/>
    </row>
    <row r="5" spans="1:31" x14ac:dyDescent="0.35">
      <c r="A5" s="76" t="s">
        <v>78</v>
      </c>
      <c r="C5" s="76"/>
      <c r="D5" s="76"/>
      <c r="E5" s="76"/>
      <c r="F5" s="86">
        <v>1.5599999999999999E-2</v>
      </c>
      <c r="H5" s="78"/>
      <c r="J5" s="78"/>
    </row>
    <row r="6" spans="1:31" x14ac:dyDescent="0.35">
      <c r="A6" s="79" t="s">
        <v>79</v>
      </c>
      <c r="C6" s="76"/>
      <c r="D6" s="76"/>
      <c r="E6" s="76"/>
      <c r="F6" s="85">
        <v>1.8</v>
      </c>
      <c r="G6" s="77"/>
      <c r="H6" s="78"/>
      <c r="J6" s="78"/>
    </row>
    <row r="8" spans="1:31" ht="15.5" x14ac:dyDescent="0.35">
      <c r="A8" s="87" t="s">
        <v>347</v>
      </c>
      <c r="B8" t="s">
        <v>71</v>
      </c>
      <c r="C8" t="s">
        <v>72</v>
      </c>
      <c r="D8" t="s">
        <v>73</v>
      </c>
      <c r="E8"/>
      <c r="J8"/>
    </row>
    <row r="9" spans="1:31" s="82" customFormat="1" ht="15.5" x14ac:dyDescent="0.35">
      <c r="A9" s="34" t="s">
        <v>202</v>
      </c>
      <c r="B9" s="194">
        <v>0</v>
      </c>
      <c r="C9" s="194">
        <v>0</v>
      </c>
      <c r="D9" s="194">
        <v>1</v>
      </c>
      <c r="E9" s="34"/>
      <c r="F9" s="114"/>
      <c r="G9" s="114"/>
      <c r="H9" s="114"/>
      <c r="I9" s="114"/>
      <c r="J9" s="34"/>
    </row>
    <row r="10" spans="1:31" ht="15.5" x14ac:dyDescent="0.35">
      <c r="A10" t="s">
        <v>199</v>
      </c>
      <c r="B10" s="88">
        <v>0.05</v>
      </c>
      <c r="C10" s="88">
        <v>0.1</v>
      </c>
      <c r="D10" s="88">
        <v>0.85</v>
      </c>
      <c r="E10" s="88"/>
      <c r="F10"/>
      <c r="G10" s="17"/>
      <c r="H10" s="17"/>
      <c r="I10" s="17"/>
      <c r="J10"/>
    </row>
    <row r="11" spans="1:31" ht="15.5" x14ac:dyDescent="0.35">
      <c r="A11" s="92" t="s">
        <v>87</v>
      </c>
      <c r="B11" s="391" t="s">
        <v>102</v>
      </c>
      <c r="C11" s="392"/>
      <c r="D11" s="392"/>
      <c r="E11" s="393"/>
      <c r="F11" s="388" t="s">
        <v>177</v>
      </c>
      <c r="G11" s="389"/>
      <c r="H11" s="389"/>
      <c r="I11" s="389"/>
      <c r="J11" s="390"/>
    </row>
    <row r="12" spans="1:31" s="82" customFormat="1" ht="15.5" x14ac:dyDescent="0.35">
      <c r="A12" s="87" t="s">
        <v>347</v>
      </c>
      <c r="B12" s="23">
        <v>2017</v>
      </c>
      <c r="C12" s="23">
        <v>2018</v>
      </c>
      <c r="D12" s="23">
        <v>2019</v>
      </c>
      <c r="E12" s="23">
        <v>2020</v>
      </c>
      <c r="F12" s="23">
        <v>2021</v>
      </c>
      <c r="G12" s="23">
        <v>2022</v>
      </c>
      <c r="H12" s="23">
        <v>2023</v>
      </c>
      <c r="I12" s="23">
        <v>2024</v>
      </c>
      <c r="J12" s="23">
        <v>2025</v>
      </c>
      <c r="K12" s="71"/>
      <c r="L12" s="71"/>
      <c r="M12" s="71"/>
      <c r="N12" s="71"/>
      <c r="O12" s="71"/>
      <c r="P12" s="71"/>
      <c r="Q12" s="71"/>
      <c r="R12" s="71"/>
      <c r="S12" s="71"/>
      <c r="T12" s="71"/>
      <c r="U12" s="71"/>
      <c r="V12" s="71"/>
      <c r="W12" s="71"/>
      <c r="X12" s="71"/>
      <c r="Y12" s="71"/>
      <c r="Z12" s="71"/>
      <c r="AA12" s="71"/>
      <c r="AB12" s="71"/>
      <c r="AC12" s="71"/>
      <c r="AD12" s="71"/>
      <c r="AE12" s="71"/>
    </row>
    <row r="13" spans="1:31" ht="15.5" x14ac:dyDescent="0.35">
      <c r="A13" t="s">
        <v>74</v>
      </c>
      <c r="B13" s="64"/>
      <c r="C13" s="64">
        <f>D13*(1-$F$5)</f>
        <v>108288.92200000001</v>
      </c>
      <c r="D13" s="64">
        <v>110005</v>
      </c>
      <c r="E13" s="64">
        <f>D13*(1+$F$5)</f>
        <v>111721.07800000001</v>
      </c>
      <c r="F13" s="64">
        <f t="shared" ref="F13:J13" si="0">E13*(1+$F$5)</f>
        <v>113463.92681680001</v>
      </c>
      <c r="G13" s="64">
        <f t="shared" si="0"/>
        <v>115233.9640751421</v>
      </c>
      <c r="H13" s="64">
        <f t="shared" si="0"/>
        <v>117031.61391471433</v>
      </c>
      <c r="I13" s="64">
        <f t="shared" si="0"/>
        <v>118857.30709178388</v>
      </c>
      <c r="J13" s="64">
        <f t="shared" si="0"/>
        <v>120711.48108241572</v>
      </c>
    </row>
    <row r="14" spans="1:31" s="83" customFormat="1" ht="15.5" x14ac:dyDescent="0.35">
      <c r="A14" t="s">
        <v>75</v>
      </c>
      <c r="B14" s="69"/>
      <c r="C14" s="69">
        <f t="shared" ref="C14:J14" si="1">(C13/$F$6)</f>
        <v>60160.512222222227</v>
      </c>
      <c r="D14" s="69">
        <f t="shared" si="1"/>
        <v>61113.888888888891</v>
      </c>
      <c r="E14" s="69">
        <f t="shared" si="1"/>
        <v>62067.265555555561</v>
      </c>
      <c r="F14" s="69">
        <f t="shared" si="1"/>
        <v>63035.514898222231</v>
      </c>
      <c r="G14" s="69">
        <f t="shared" si="1"/>
        <v>64018.868930634497</v>
      </c>
      <c r="H14" s="69">
        <f t="shared" si="1"/>
        <v>65017.563285952405</v>
      </c>
      <c r="I14" s="69">
        <f t="shared" si="1"/>
        <v>66031.83727321327</v>
      </c>
      <c r="J14" s="69">
        <f t="shared" si="1"/>
        <v>67061.933934675399</v>
      </c>
      <c r="K14" s="71"/>
      <c r="L14" s="71"/>
      <c r="M14" s="71"/>
      <c r="N14" s="71"/>
      <c r="O14" s="71"/>
      <c r="P14" s="71"/>
      <c r="Q14" s="71"/>
      <c r="R14" s="71"/>
      <c r="S14" s="71"/>
      <c r="T14" s="71"/>
      <c r="U14" s="71"/>
      <c r="V14" s="71"/>
      <c r="W14" s="71"/>
      <c r="X14" s="71"/>
      <c r="Y14" s="71"/>
      <c r="Z14" s="71"/>
      <c r="AA14" s="71"/>
      <c r="AB14" s="71"/>
      <c r="AC14" s="71"/>
      <c r="AD14" s="71"/>
      <c r="AE14" s="71"/>
    </row>
    <row r="15" spans="1:31" ht="15.5" x14ac:dyDescent="0.35">
      <c r="A15" s="182" t="s">
        <v>179</v>
      </c>
      <c r="B15" s="181"/>
      <c r="C15" s="181">
        <v>38939</v>
      </c>
      <c r="D15" s="193">
        <f>C15*(1-$B$9)</f>
        <v>38939</v>
      </c>
      <c r="E15" s="68">
        <f>C15*(1-$B$9-$C$9)</f>
        <v>38939</v>
      </c>
      <c r="F15" s="192">
        <f>C15*(1-($B$9+$C$9+$D$9))</f>
        <v>0</v>
      </c>
      <c r="G15" s="67"/>
    </row>
    <row r="16" spans="1:31" ht="15.5" x14ac:dyDescent="0.35">
      <c r="A16" s="182" t="s">
        <v>180</v>
      </c>
      <c r="B16" s="29"/>
      <c r="C16" s="181"/>
      <c r="D16" s="181">
        <v>7755</v>
      </c>
      <c r="E16" s="193">
        <f>D16*(1-$B$10)</f>
        <v>7367.25</v>
      </c>
      <c r="F16" s="68">
        <f>D16*(1-$B$10-$C$10)</f>
        <v>6591.75</v>
      </c>
      <c r="G16" s="192">
        <f>D16*(1-($B$10+$C$10+$D$10))</f>
        <v>0</v>
      </c>
    </row>
    <row r="17" spans="1:10" s="82" customFormat="1" ht="15.5" x14ac:dyDescent="0.35">
      <c r="A17" s="187" t="s">
        <v>203</v>
      </c>
      <c r="B17" s="66"/>
      <c r="C17" s="66"/>
      <c r="D17" s="65"/>
      <c r="E17" s="90">
        <v>20715</v>
      </c>
      <c r="F17" s="196">
        <f>E17*(1-$B$10)</f>
        <v>19679.25</v>
      </c>
      <c r="G17" s="188">
        <f>E17*(1-$B$10-$C$10)</f>
        <v>17607.75</v>
      </c>
      <c r="H17" s="197">
        <f>E17*(1-($B$10+$C$10+$D$10))</f>
        <v>0</v>
      </c>
    </row>
    <row r="18" spans="1:10" ht="15.5" x14ac:dyDescent="0.35">
      <c r="A18" s="27" t="s">
        <v>135</v>
      </c>
      <c r="B18" s="29"/>
      <c r="C18" s="29"/>
      <c r="D18" s="29"/>
      <c r="E18" s="29"/>
      <c r="F18" s="89">
        <f>F14-F15-F16-F17</f>
        <v>36764.514898222231</v>
      </c>
      <c r="G18" s="193">
        <f>F18*(1-$B$10)</f>
        <v>34926.289153311118</v>
      </c>
      <c r="H18" s="68">
        <f>F18*(1-$B$10-$C$10)</f>
        <v>31249.837663488895</v>
      </c>
      <c r="I18" s="192">
        <f>F18*(1-($B$10+$C$10+$D$10))</f>
        <v>0</v>
      </c>
    </row>
    <row r="19" spans="1:10" ht="15.5" x14ac:dyDescent="0.35">
      <c r="A19" s="27" t="s">
        <v>173</v>
      </c>
      <c r="B19" s="29"/>
      <c r="C19" s="29"/>
      <c r="D19" s="29"/>
      <c r="E19" s="184"/>
      <c r="F19" s="89"/>
      <c r="G19" s="89">
        <f>G14-G15-G16-G17-G18</f>
        <v>11484.829777323379</v>
      </c>
      <c r="H19" s="193">
        <f>G19*(1-$B$10)</f>
        <v>10910.588288457209</v>
      </c>
      <c r="I19" s="68">
        <f>G19*(1-$B$10-$C$10)</f>
        <v>9762.1053107248717</v>
      </c>
      <c r="J19" s="192">
        <f>G19*(1-($B$10+$C$10+$D$10))</f>
        <v>0</v>
      </c>
    </row>
    <row r="20" spans="1:10" ht="15.5" x14ac:dyDescent="0.35">
      <c r="A20" s="27" t="s">
        <v>174</v>
      </c>
      <c r="B20" s="29"/>
      <c r="C20" s="29"/>
      <c r="D20" s="180"/>
      <c r="E20" s="29"/>
      <c r="F20" s="89"/>
      <c r="G20" s="89"/>
      <c r="H20" s="89">
        <f>H14-H15-H16-H17-H18-H19</f>
        <v>22857.137334006296</v>
      </c>
      <c r="I20" s="193">
        <f>H20*(1-$B$10)</f>
        <v>21714.28046730598</v>
      </c>
      <c r="J20" s="68">
        <f>H20*(1-$B$10-$C$10)</f>
        <v>19428.566733905351</v>
      </c>
    </row>
    <row r="21" spans="1:10" ht="15.5" x14ac:dyDescent="0.35">
      <c r="A21" s="27" t="s">
        <v>175</v>
      </c>
      <c r="B21" s="29"/>
      <c r="C21" s="29"/>
      <c r="D21" s="29"/>
      <c r="E21" s="29"/>
      <c r="F21" s="89"/>
      <c r="G21" s="89"/>
      <c r="I21" s="89">
        <f>I14-I15-I16-I17-I18-I19-I20</f>
        <v>34555.451495182417</v>
      </c>
      <c r="J21" s="193">
        <f>I21*(1-$B$10)</f>
        <v>32827.678920423292</v>
      </c>
    </row>
    <row r="22" spans="1:10" ht="15.5" x14ac:dyDescent="0.35">
      <c r="A22" s="27" t="s">
        <v>176</v>
      </c>
      <c r="B22" s="29"/>
      <c r="C22" s="29"/>
      <c r="D22" s="29"/>
      <c r="E22" s="29"/>
      <c r="F22" s="89"/>
      <c r="G22" s="89"/>
      <c r="I22" s="89"/>
      <c r="J22" s="189">
        <f>J14-J15-J16-J17-J18-J19-J20-J21</f>
        <v>14805.68828034676</v>
      </c>
    </row>
    <row r="23" spans="1:10" ht="15.5" x14ac:dyDescent="0.35">
      <c r="A23" t="s">
        <v>76</v>
      </c>
      <c r="B23" s="38"/>
      <c r="C23" s="38">
        <f>SUM(C15:C16)/C14</f>
        <v>0.6472518029129517</v>
      </c>
      <c r="D23" s="38">
        <f>SUM(D15:D17)/D14</f>
        <v>0.76404890686786964</v>
      </c>
      <c r="E23" s="186">
        <f>SUM(E15:E17)/E14</f>
        <v>1.0798163798598506</v>
      </c>
      <c r="F23" s="183">
        <f>SUM(F15:F18)/F14</f>
        <v>1</v>
      </c>
      <c r="G23" s="183">
        <f>SUM(G16:G19)/G14</f>
        <v>1</v>
      </c>
      <c r="H23" s="183">
        <f>SUM(H17:H20)/H14</f>
        <v>1</v>
      </c>
      <c r="I23" s="183">
        <f>SUM(I18:I21)/I14</f>
        <v>1</v>
      </c>
      <c r="J23" s="183">
        <f>SUM(J19:J22)/J14</f>
        <v>1</v>
      </c>
    </row>
    <row r="24" spans="1:10" ht="15.5" x14ac:dyDescent="0.35">
      <c r="A24" s="348" t="s">
        <v>397</v>
      </c>
      <c r="B24" s="312"/>
      <c r="C24" s="312"/>
      <c r="D24" s="312"/>
      <c r="E24" s="312"/>
      <c r="F24" s="249">
        <f>F18</f>
        <v>36764.514898222231</v>
      </c>
      <c r="G24" s="249">
        <f>G19</f>
        <v>11484.829777323379</v>
      </c>
      <c r="H24" s="249">
        <f>H20</f>
        <v>22857.137334006296</v>
      </c>
      <c r="I24" s="249">
        <f>I21</f>
        <v>34555.451495182417</v>
      </c>
      <c r="J24" s="249">
        <f>J22</f>
        <v>14805.68828034676</v>
      </c>
    </row>
    <row r="25" spans="1:10" ht="15.5" x14ac:dyDescent="0.35">
      <c r="A25"/>
      <c r="B25"/>
      <c r="C25"/>
      <c r="D25"/>
      <c r="E25"/>
      <c r="F25" s="17"/>
      <c r="G25" s="17"/>
      <c r="H25" s="17"/>
      <c r="I25" s="17"/>
      <c r="J25"/>
    </row>
    <row r="26" spans="1:10" ht="15.5" x14ac:dyDescent="0.35">
      <c r="A26" s="92" t="s">
        <v>88</v>
      </c>
      <c r="B26" s="391" t="s">
        <v>102</v>
      </c>
      <c r="C26" s="392"/>
      <c r="D26" s="392"/>
      <c r="E26" s="393"/>
      <c r="F26" s="388" t="s">
        <v>177</v>
      </c>
      <c r="G26" s="389"/>
      <c r="H26" s="389"/>
      <c r="I26" s="389"/>
      <c r="J26" s="390"/>
    </row>
    <row r="27" spans="1:10" ht="15.5" x14ac:dyDescent="0.35">
      <c r="A27" s="63" t="s">
        <v>347</v>
      </c>
      <c r="B27" s="23">
        <v>2017</v>
      </c>
      <c r="C27" s="23">
        <v>2018</v>
      </c>
      <c r="D27" s="23">
        <v>2019</v>
      </c>
      <c r="E27" s="23">
        <v>2020</v>
      </c>
      <c r="F27" s="23">
        <v>2021</v>
      </c>
      <c r="G27" s="23">
        <v>2022</v>
      </c>
      <c r="H27" s="23">
        <v>2023</v>
      </c>
      <c r="I27" s="23">
        <v>2024</v>
      </c>
      <c r="J27" s="23">
        <v>2025</v>
      </c>
    </row>
    <row r="28" spans="1:10" ht="15.5" x14ac:dyDescent="0.35">
      <c r="A28" t="s">
        <v>74</v>
      </c>
      <c r="B28" s="64"/>
      <c r="C28" s="64">
        <f>D28*(1-$F$5)</f>
        <v>207479.03480000002</v>
      </c>
      <c r="D28" s="190">
        <v>210767</v>
      </c>
      <c r="E28" s="64">
        <f t="shared" ref="E28:J28" si="2">D28*(1+$F$5)</f>
        <v>214054.96520000001</v>
      </c>
      <c r="F28" s="64">
        <f t="shared" si="2"/>
        <v>217394.22265712003</v>
      </c>
      <c r="G28" s="64">
        <f t="shared" si="2"/>
        <v>220785.57253057111</v>
      </c>
      <c r="H28" s="64">
        <f t="shared" si="2"/>
        <v>224229.82746204804</v>
      </c>
      <c r="I28" s="64">
        <f t="shared" si="2"/>
        <v>227727.81277045599</v>
      </c>
      <c r="J28" s="64">
        <f t="shared" si="2"/>
        <v>231280.36664967512</v>
      </c>
    </row>
    <row r="29" spans="1:10" ht="15.5" x14ac:dyDescent="0.35">
      <c r="A29" t="s">
        <v>75</v>
      </c>
      <c r="B29" s="69"/>
      <c r="C29" s="69">
        <f t="shared" ref="C29:J29" si="3">(C28/$F$6)</f>
        <v>115266.13044444445</v>
      </c>
      <c r="D29" s="69">
        <f t="shared" si="3"/>
        <v>117092.77777777778</v>
      </c>
      <c r="E29" s="69">
        <f t="shared" si="3"/>
        <v>118919.42511111111</v>
      </c>
      <c r="F29" s="69">
        <f t="shared" si="3"/>
        <v>120774.56814284445</v>
      </c>
      <c r="G29" s="69">
        <f t="shared" si="3"/>
        <v>122658.65140587284</v>
      </c>
      <c r="H29" s="69">
        <f t="shared" si="3"/>
        <v>124572.12636780446</v>
      </c>
      <c r="I29" s="69">
        <f t="shared" si="3"/>
        <v>126515.45153914222</v>
      </c>
      <c r="J29" s="69">
        <f t="shared" si="3"/>
        <v>128489.09258315284</v>
      </c>
    </row>
    <row r="30" spans="1:10" ht="15.5" x14ac:dyDescent="0.35">
      <c r="A30" s="182" t="s">
        <v>179</v>
      </c>
      <c r="B30" s="181"/>
      <c r="C30" s="181">
        <v>72955</v>
      </c>
      <c r="D30" s="193">
        <f>C30*(1-$B$9)</f>
        <v>72955</v>
      </c>
      <c r="E30" s="68">
        <f>C30*(1-$B$9-$C$9)</f>
        <v>72955</v>
      </c>
      <c r="F30" s="192">
        <f>C30*(1-($B$9+$C$9+$D$9))</f>
        <v>0</v>
      </c>
      <c r="G30" s="67"/>
    </row>
    <row r="31" spans="1:10" ht="15.5" x14ac:dyDescent="0.35">
      <c r="A31" s="182" t="s">
        <v>180</v>
      </c>
      <c r="B31" s="29"/>
      <c r="C31" s="181"/>
      <c r="D31" s="181">
        <v>15978</v>
      </c>
      <c r="E31" s="193">
        <f>D31*(1-$B$10)</f>
        <v>15179.099999999999</v>
      </c>
      <c r="F31" s="68">
        <f>D31*(1-$B$10-$C$10)</f>
        <v>13581.3</v>
      </c>
      <c r="G31" s="192">
        <f>D31*(1-($B$10+$C$10+$D$10))</f>
        <v>0</v>
      </c>
    </row>
    <row r="32" spans="1:10" s="82" customFormat="1" ht="15.5" x14ac:dyDescent="0.35">
      <c r="A32" s="187" t="s">
        <v>203</v>
      </c>
      <c r="B32" s="66"/>
      <c r="C32" s="66"/>
      <c r="D32" s="65"/>
      <c r="E32" s="195">
        <v>41955.241379310348</v>
      </c>
      <c r="F32" s="193">
        <f>E32*(1-$B$10)</f>
        <v>39857.479310344832</v>
      </c>
      <c r="G32" s="68">
        <f>E32*(1-$B$10-$C$10)</f>
        <v>35661.955172413793</v>
      </c>
      <c r="H32" s="192">
        <f>E32*(1-($B$10+$C$10+$D$10))</f>
        <v>0</v>
      </c>
    </row>
    <row r="33" spans="1:11" ht="15.5" x14ac:dyDescent="0.35">
      <c r="A33" s="27" t="s">
        <v>135</v>
      </c>
      <c r="B33" s="29"/>
      <c r="C33" s="29"/>
      <c r="D33" s="29"/>
      <c r="E33" s="29"/>
      <c r="F33" s="89">
        <f>F29-SUM(F30:F32)</f>
        <v>67335.788832499617</v>
      </c>
      <c r="G33" s="193">
        <f>F33*(1-$B$10)</f>
        <v>63968.999390874633</v>
      </c>
      <c r="H33" s="68">
        <f>F33*(1-$B$10-$C$10)</f>
        <v>57235.420507624673</v>
      </c>
      <c r="I33" s="192">
        <f>F33*(1-($B$10+$C$10+$D$10))</f>
        <v>0</v>
      </c>
    </row>
    <row r="34" spans="1:11" ht="15.5" x14ac:dyDescent="0.35">
      <c r="A34" s="27" t="s">
        <v>173</v>
      </c>
      <c r="B34" s="29"/>
      <c r="C34" s="29"/>
      <c r="D34" s="29"/>
      <c r="E34" s="184"/>
      <c r="F34" s="89"/>
      <c r="G34" s="89">
        <f>G29-G30-G31-G32-G33</f>
        <v>23027.696842584417</v>
      </c>
      <c r="H34" s="193">
        <f>G34*(1-$B$10)</f>
        <v>21876.312000455197</v>
      </c>
      <c r="I34" s="68">
        <f>G34*(1-$B$10-$C$10)</f>
        <v>19573.542316196756</v>
      </c>
      <c r="J34" s="192">
        <f>G34*(1-($B$10+$C$10+$D$10))</f>
        <v>0</v>
      </c>
    </row>
    <row r="35" spans="1:11" ht="15.5" x14ac:dyDescent="0.35">
      <c r="A35" s="27" t="s">
        <v>174</v>
      </c>
      <c r="B35" s="29"/>
      <c r="C35" s="29"/>
      <c r="D35" s="180"/>
      <c r="E35" s="29"/>
      <c r="F35" s="89"/>
      <c r="G35" s="89"/>
      <c r="H35" s="89">
        <f>H29-H30-H31-H32-H33-H34</f>
        <v>45460.393859724594</v>
      </c>
      <c r="I35" s="193">
        <f>H35*(1-$B$10)</f>
        <v>43187.374166738366</v>
      </c>
      <c r="J35" s="68">
        <f>H35*(1-$B$10-$C$10)</f>
        <v>38641.334780765901</v>
      </c>
    </row>
    <row r="36" spans="1:11" ht="15.5" x14ac:dyDescent="0.35">
      <c r="A36" s="27" t="s">
        <v>175</v>
      </c>
      <c r="B36" s="29"/>
      <c r="C36" s="29"/>
      <c r="D36" s="29"/>
      <c r="E36" s="29"/>
      <c r="F36" s="89"/>
      <c r="G36" s="89"/>
      <c r="I36" s="89">
        <f>I29-I30-I31-I32-I33-I34-I35</f>
        <v>63754.535056207089</v>
      </c>
      <c r="J36" s="193">
        <f>I36*(1-$B$10)</f>
        <v>60566.808303396734</v>
      </c>
    </row>
    <row r="37" spans="1:11" ht="15.5" x14ac:dyDescent="0.35">
      <c r="A37" s="27" t="s">
        <v>176</v>
      </c>
      <c r="B37" s="29"/>
      <c r="C37" s="29"/>
      <c r="D37" s="29"/>
      <c r="E37" s="29"/>
      <c r="F37" s="89"/>
      <c r="G37" s="89"/>
      <c r="I37" s="89"/>
      <c r="J37" s="89">
        <f>J29-J30-J31-J32-J33-J34-J35-J36</f>
        <v>29280.949498990209</v>
      </c>
    </row>
    <row r="38" spans="1:11" ht="15.5" x14ac:dyDescent="0.35">
      <c r="A38" t="s">
        <v>76</v>
      </c>
      <c r="B38" s="38"/>
      <c r="C38" s="38">
        <f>SUM(C30:C31)/C29</f>
        <v>0.6329265996758916</v>
      </c>
      <c r="D38" s="38">
        <f>SUM(D30:D32)/D29</f>
        <v>0.75950884151693576</v>
      </c>
      <c r="E38" s="186">
        <f>SUM(E30:E32)/E29</f>
        <v>1.0939284415288988</v>
      </c>
      <c r="F38" s="183">
        <f>SUM(F30:F33)/F29</f>
        <v>1</v>
      </c>
      <c r="G38" s="183">
        <f>SUM(G31:G34)/G29</f>
        <v>1</v>
      </c>
      <c r="H38" s="183">
        <f>SUM(H32:H35)/H29</f>
        <v>1.0000000000000002</v>
      </c>
      <c r="I38" s="183">
        <f>SUM(I33:I36)/I29</f>
        <v>0.99999999999999989</v>
      </c>
      <c r="J38" s="183">
        <f>SUM(J34:J37)/J29</f>
        <v>1</v>
      </c>
    </row>
    <row r="39" spans="1:11" s="70" customFormat="1" ht="15.5" x14ac:dyDescent="0.35">
      <c r="A39" s="348" t="s">
        <v>398</v>
      </c>
      <c r="B39" s="349"/>
      <c r="C39" s="349"/>
      <c r="D39" s="349"/>
      <c r="E39" s="349"/>
      <c r="F39" s="350">
        <f>F33-F24</f>
        <v>30571.273934277386</v>
      </c>
      <c r="G39" s="350">
        <f>G34-G24</f>
        <v>11542.867065261038</v>
      </c>
      <c r="H39" s="350">
        <f>H35-H24</f>
        <v>22603.256525718298</v>
      </c>
      <c r="I39" s="350">
        <f>I36-I24</f>
        <v>29199.083561024672</v>
      </c>
      <c r="J39" s="350">
        <f>J37-J24</f>
        <v>14475.261218643449</v>
      </c>
      <c r="K39" s="297">
        <f>K33-K24</f>
        <v>0</v>
      </c>
    </row>
    <row r="42" spans="1:11" ht="15.5" x14ac:dyDescent="0.35">
      <c r="A42" s="92" t="s">
        <v>89</v>
      </c>
      <c r="B42" s="391" t="s">
        <v>102</v>
      </c>
      <c r="C42" s="392"/>
      <c r="D42" s="392"/>
      <c r="E42" s="393"/>
      <c r="F42" s="388" t="s">
        <v>177</v>
      </c>
      <c r="G42" s="389"/>
      <c r="H42" s="389"/>
      <c r="I42" s="389"/>
      <c r="J42" s="390"/>
    </row>
    <row r="43" spans="1:11" ht="15.5" x14ac:dyDescent="0.35">
      <c r="A43" s="63" t="s">
        <v>347</v>
      </c>
      <c r="B43" s="23">
        <v>2017</v>
      </c>
      <c r="C43" s="23">
        <v>2018</v>
      </c>
      <c r="D43" s="23">
        <v>2019</v>
      </c>
      <c r="E43" s="23">
        <v>2020</v>
      </c>
      <c r="F43" s="23">
        <v>2021</v>
      </c>
      <c r="G43" s="23">
        <v>2022</v>
      </c>
      <c r="H43" s="23">
        <v>2023</v>
      </c>
      <c r="I43" s="23">
        <v>2024</v>
      </c>
      <c r="J43" s="23">
        <v>2025</v>
      </c>
    </row>
    <row r="44" spans="1:11" ht="15.5" x14ac:dyDescent="0.35">
      <c r="A44" t="s">
        <v>74</v>
      </c>
      <c r="B44" s="64"/>
      <c r="C44" s="64">
        <f>D44*(1-$F$5)</f>
        <v>890200.79520000005</v>
      </c>
      <c r="D44" s="64">
        <v>904308</v>
      </c>
      <c r="E44" s="64">
        <f t="shared" ref="E44:J44" si="4">D44*(1+$F$5)</f>
        <v>918415.20480000007</v>
      </c>
      <c r="F44" s="64">
        <f t="shared" si="4"/>
        <v>932742.48199488013</v>
      </c>
      <c r="G44" s="64">
        <f t="shared" si="4"/>
        <v>947293.26471400028</v>
      </c>
      <c r="H44" s="64">
        <f t="shared" si="4"/>
        <v>962071.03964353877</v>
      </c>
      <c r="I44" s="64">
        <f t="shared" si="4"/>
        <v>977079.34786197799</v>
      </c>
      <c r="J44" s="64">
        <f t="shared" si="4"/>
        <v>992321.78568862495</v>
      </c>
    </row>
    <row r="45" spans="1:11" ht="15.5" x14ac:dyDescent="0.35">
      <c r="A45" t="s">
        <v>75</v>
      </c>
      <c r="B45" s="69"/>
      <c r="C45" s="69">
        <f t="shared" ref="C45:J45" si="5">(C44/$F$6)</f>
        <v>494555.99733333336</v>
      </c>
      <c r="D45" s="69">
        <f t="shared" si="5"/>
        <v>502393.33333333331</v>
      </c>
      <c r="E45" s="69">
        <f t="shared" si="5"/>
        <v>510230.66933333338</v>
      </c>
      <c r="F45" s="69">
        <f t="shared" si="5"/>
        <v>518190.26777493337</v>
      </c>
      <c r="G45" s="69">
        <f t="shared" si="5"/>
        <v>526274.03595222242</v>
      </c>
      <c r="H45" s="69">
        <f t="shared" si="5"/>
        <v>534483.91091307707</v>
      </c>
      <c r="I45" s="69">
        <f t="shared" si="5"/>
        <v>542821.85992332106</v>
      </c>
      <c r="J45" s="69">
        <f t="shared" si="5"/>
        <v>551289.88093812496</v>
      </c>
    </row>
    <row r="46" spans="1:11" ht="15.5" x14ac:dyDescent="0.35">
      <c r="A46" s="182" t="s">
        <v>179</v>
      </c>
      <c r="B46" s="181"/>
      <c r="C46" s="181">
        <v>163576</v>
      </c>
      <c r="D46" s="193">
        <f>C46*(1-$B$9)</f>
        <v>163576</v>
      </c>
      <c r="E46" s="68">
        <f>C46*(1-$B$9-$C$9)</f>
        <v>163576</v>
      </c>
      <c r="F46" s="192">
        <f>C46*(1-($B$9+$C$9+$D$9))</f>
        <v>0</v>
      </c>
      <c r="G46" s="67"/>
    </row>
    <row r="47" spans="1:11" ht="15.5" x14ac:dyDescent="0.35">
      <c r="A47" s="182" t="s">
        <v>180</v>
      </c>
      <c r="B47" s="29"/>
      <c r="C47" s="181"/>
      <c r="D47" s="181">
        <v>84872</v>
      </c>
      <c r="E47" s="193">
        <f>D47*(1-$B$10)</f>
        <v>80628.399999999994</v>
      </c>
      <c r="F47" s="68">
        <f>D47*(1-$B$10-$C$10)</f>
        <v>72141.2</v>
      </c>
      <c r="G47" s="192">
        <f>D47*(1-($B$10+$C$10+$D$10))</f>
        <v>0</v>
      </c>
    </row>
    <row r="48" spans="1:11" s="82" customFormat="1" ht="15.5" x14ac:dyDescent="0.35">
      <c r="A48" s="187" t="s">
        <v>203</v>
      </c>
      <c r="B48" s="66"/>
      <c r="C48" s="66"/>
      <c r="D48" s="65"/>
      <c r="E48" s="195">
        <v>241586.6211719315</v>
      </c>
      <c r="F48" s="193">
        <f>E48*(1-$B$10)</f>
        <v>229507.29011333492</v>
      </c>
      <c r="G48" s="68">
        <f>E48*(1-$B$10-$C$10)</f>
        <v>205348.62799614176</v>
      </c>
      <c r="H48" s="192">
        <f>E48*(1-($B$10+$C$10+$D$10))</f>
        <v>0</v>
      </c>
    </row>
    <row r="49" spans="1:10" ht="15.5" x14ac:dyDescent="0.35">
      <c r="A49" s="27" t="s">
        <v>135</v>
      </c>
      <c r="B49" s="29"/>
      <c r="C49" s="29"/>
      <c r="D49" s="29"/>
      <c r="E49" s="29"/>
      <c r="F49" s="89">
        <f>F$45-SUM(F46:F48)</f>
        <v>216541.77766159846</v>
      </c>
      <c r="G49" s="193">
        <f>F49*(1-$B$10)</f>
        <v>205714.68877851852</v>
      </c>
      <c r="H49" s="68">
        <f>F49*(1-$B$10-$C$10)</f>
        <v>184060.51101235868</v>
      </c>
      <c r="I49" s="192">
        <f>F49*(1-($B$10+$C$10+$D$10))</f>
        <v>0</v>
      </c>
    </row>
    <row r="50" spans="1:10" ht="15.5" x14ac:dyDescent="0.35">
      <c r="A50" s="27" t="s">
        <v>173</v>
      </c>
      <c r="B50" s="29"/>
      <c r="C50" s="29"/>
      <c r="D50" s="29"/>
      <c r="E50" s="184"/>
      <c r="F50" s="89"/>
      <c r="G50" s="89">
        <f>G$45-SUM(G47:G49)</f>
        <v>115210.71917756216</v>
      </c>
      <c r="H50" s="193">
        <f>G50*(1-$B$10)</f>
        <v>109450.18321868405</v>
      </c>
      <c r="I50" s="68">
        <f>G50*(1-$B$10-$C$10)</f>
        <v>97929.111300927834</v>
      </c>
      <c r="J50" s="192">
        <f>G50*(1-($B$10+$C$10+$D$10))</f>
        <v>0</v>
      </c>
    </row>
    <row r="51" spans="1:10" ht="15.5" x14ac:dyDescent="0.35">
      <c r="A51" s="27" t="s">
        <v>174</v>
      </c>
      <c r="B51" s="29"/>
      <c r="C51" s="29"/>
      <c r="D51" s="180"/>
      <c r="E51" s="29"/>
      <c r="F51" s="89"/>
      <c r="G51" s="89"/>
      <c r="H51" s="89">
        <f>H$45-SUM(H48:H50)</f>
        <v>240973.21668203431</v>
      </c>
      <c r="I51" s="193">
        <f>H51*(1-$B$10)</f>
        <v>228924.55584793258</v>
      </c>
      <c r="J51" s="68">
        <f>H51*(1-$B$10-$C$10)</f>
        <v>204827.23417972916</v>
      </c>
    </row>
    <row r="52" spans="1:10" ht="15.5" x14ac:dyDescent="0.35">
      <c r="A52" s="27" t="s">
        <v>175</v>
      </c>
      <c r="B52" s="29"/>
      <c r="C52" s="29"/>
      <c r="D52" s="29"/>
      <c r="E52" s="29"/>
      <c r="F52" s="89"/>
      <c r="G52" s="89"/>
      <c r="I52" s="89">
        <f>I$45-SUM(I49:I51)</f>
        <v>215968.19277446065</v>
      </c>
      <c r="J52" s="193">
        <f>I52*(1-$B$10)</f>
        <v>205169.78313573761</v>
      </c>
    </row>
    <row r="53" spans="1:10" ht="15.5" x14ac:dyDescent="0.35">
      <c r="A53" s="27" t="s">
        <v>176</v>
      </c>
      <c r="B53" s="29"/>
      <c r="C53" s="29"/>
      <c r="D53" s="29"/>
      <c r="E53" s="29"/>
      <c r="F53" s="89"/>
      <c r="G53" s="89"/>
      <c r="I53" s="89"/>
      <c r="J53" s="89">
        <f>J$45-SUM(J50:J52)</f>
        <v>141292.86362265819</v>
      </c>
    </row>
    <row r="54" spans="1:10" ht="15.5" x14ac:dyDescent="0.35">
      <c r="A54" t="s">
        <v>76</v>
      </c>
      <c r="B54" s="38"/>
      <c r="C54" s="38">
        <f>SUM(C46:C47)/C45</f>
        <v>0.33075324307461368</v>
      </c>
      <c r="D54" s="38">
        <f>SUM(D46:D47)/D45</f>
        <v>0.4945288552130469</v>
      </c>
      <c r="E54" s="186">
        <f>SUM(E46:E47)/E45</f>
        <v>0.47861568243060948</v>
      </c>
      <c r="F54" s="183">
        <f>SUM(F46:F49)/F45</f>
        <v>1</v>
      </c>
      <c r="G54" s="183">
        <f>SUM(G47:G50)/G45</f>
        <v>1</v>
      </c>
      <c r="H54" s="183">
        <f>SUM(H49:H51)/H45</f>
        <v>1</v>
      </c>
      <c r="I54" s="183">
        <f>SUM(I49:I52)/I45</f>
        <v>1</v>
      </c>
      <c r="J54" s="183">
        <f>SUM(J50:J53)/J45</f>
        <v>1</v>
      </c>
    </row>
    <row r="55" spans="1:10" s="70" customFormat="1" ht="15.5" x14ac:dyDescent="0.35">
      <c r="A55" s="348" t="s">
        <v>399</v>
      </c>
      <c r="B55" s="349"/>
      <c r="C55" s="349"/>
      <c r="D55" s="349"/>
      <c r="E55" s="349"/>
      <c r="F55" s="350">
        <f>F49-F33</f>
        <v>149205.98882909885</v>
      </c>
      <c r="G55" s="350">
        <f>G50-G34</f>
        <v>92183.022334977752</v>
      </c>
      <c r="H55" s="350">
        <f>H51-H35</f>
        <v>195512.82282230971</v>
      </c>
      <c r="I55" s="350">
        <f>I52-I36</f>
        <v>152213.65771825355</v>
      </c>
      <c r="J55" s="350">
        <f>J53-J37</f>
        <v>112011.91412366799</v>
      </c>
    </row>
    <row r="56" spans="1:10" x14ac:dyDescent="0.35">
      <c r="F56" s="130"/>
    </row>
  </sheetData>
  <mergeCells count="7">
    <mergeCell ref="B42:E42"/>
    <mergeCell ref="F42:J42"/>
    <mergeCell ref="A2:J2"/>
    <mergeCell ref="B11:E11"/>
    <mergeCell ref="F11:J11"/>
    <mergeCell ref="B26:E26"/>
    <mergeCell ref="F26:J26"/>
  </mergeCells>
  <pageMargins left="0.75" right="0.75" top="1" bottom="1" header="0.5" footer="0.5"/>
  <pageSetup paperSize="9" orientation="portrait" horizontalDpi="4294967292" verticalDpi="4294967292"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5"/>
  <sheetViews>
    <sheetView tabSelected="1" topLeftCell="A8" workbookViewId="0">
      <selection activeCell="E18" sqref="E18:I18"/>
    </sheetView>
  </sheetViews>
  <sheetFormatPr defaultColWidth="10.58203125" defaultRowHeight="15.5" x14ac:dyDescent="0.35"/>
  <cols>
    <col min="1" max="1" width="45.58203125" customWidth="1"/>
    <col min="2" max="2" width="12" customWidth="1"/>
    <col min="3" max="3" width="18.33203125" customWidth="1"/>
    <col min="4" max="4" width="13.25" customWidth="1"/>
    <col min="5" max="5" width="11.33203125" customWidth="1"/>
    <col min="6" max="6" width="11.6640625" bestFit="1" customWidth="1"/>
    <col min="7" max="7" width="11.5" bestFit="1" customWidth="1"/>
    <col min="8" max="8" width="13.4140625" bestFit="1" customWidth="1"/>
    <col min="9" max="9" width="11.5" bestFit="1" customWidth="1"/>
    <col min="10" max="10" width="143.83203125" bestFit="1" customWidth="1"/>
    <col min="11" max="13" width="9.83203125" customWidth="1"/>
    <col min="14" max="14" width="25.75" bestFit="1" customWidth="1"/>
    <col min="15" max="15" width="14.58203125" customWidth="1"/>
  </cols>
  <sheetData>
    <row r="1" spans="1:10" x14ac:dyDescent="0.35">
      <c r="A1" s="378" t="s">
        <v>208</v>
      </c>
      <c r="B1" s="378"/>
      <c r="C1" s="378"/>
      <c r="D1" s="378"/>
      <c r="E1" s="378"/>
      <c r="F1" s="378"/>
      <c r="G1" s="378"/>
      <c r="H1" s="378"/>
      <c r="I1" s="378"/>
      <c r="J1" s="378"/>
    </row>
    <row r="2" spans="1:10" x14ac:dyDescent="0.35">
      <c r="A2" s="125"/>
      <c r="B2" s="125"/>
    </row>
    <row r="3" spans="1:10" x14ac:dyDescent="0.35">
      <c r="A3" s="216"/>
      <c r="B3" s="216"/>
      <c r="C3" s="217"/>
      <c r="D3" s="217"/>
      <c r="E3" s="218">
        <v>2021</v>
      </c>
      <c r="F3" s="218">
        <v>2022</v>
      </c>
      <c r="G3" s="218">
        <v>2023</v>
      </c>
      <c r="H3" s="218">
        <v>2024</v>
      </c>
      <c r="I3" s="218">
        <v>2025</v>
      </c>
      <c r="J3" s="218" t="s">
        <v>91</v>
      </c>
    </row>
    <row r="4" spans="1:10" x14ac:dyDescent="0.35">
      <c r="A4" s="216"/>
      <c r="B4" s="380" t="s">
        <v>211</v>
      </c>
      <c r="C4" s="380"/>
      <c r="D4" s="381"/>
      <c r="E4" s="229">
        <f>E28</f>
        <v>102549.13625567489</v>
      </c>
      <c r="F4" s="229">
        <f>F28</f>
        <v>104451.619153376</v>
      </c>
      <c r="G4" s="229">
        <f>G28</f>
        <v>106394.09752117895</v>
      </c>
      <c r="H4" s="229">
        <f>H28</f>
        <v>108377.48280697962</v>
      </c>
      <c r="I4" s="229">
        <f>I28</f>
        <v>110402.70893436419</v>
      </c>
      <c r="J4" s="219" t="s">
        <v>396</v>
      </c>
    </row>
    <row r="5" spans="1:10" x14ac:dyDescent="0.35">
      <c r="A5" s="216"/>
      <c r="B5" s="380" t="s">
        <v>210</v>
      </c>
      <c r="C5" s="380"/>
      <c r="D5" s="381"/>
      <c r="E5" s="229">
        <f>'LLIN CHT'!F20</f>
        <v>135159.7843196874</v>
      </c>
      <c r="F5" s="229">
        <f>'LLIN CHT'!G21</f>
        <v>239757.32209322322</v>
      </c>
      <c r="G5" s="229">
        <f>'LLIN CHT'!H22</f>
        <v>1017947.0429560484</v>
      </c>
      <c r="H5" s="229">
        <f>'LLIN CHT'!I23</f>
        <v>216427.43974264152</v>
      </c>
      <c r="I5" s="229">
        <f>'LLIN CHT'!J24</f>
        <v>343692.03628580947</v>
      </c>
      <c r="J5" s="219" t="s">
        <v>141</v>
      </c>
    </row>
    <row r="6" spans="1:10" x14ac:dyDescent="0.35">
      <c r="A6" s="216"/>
      <c r="B6" s="382" t="s">
        <v>212</v>
      </c>
      <c r="C6" s="382"/>
      <c r="D6" s="383"/>
      <c r="E6" s="229">
        <f>'Non-CHT'!F24</f>
        <v>36764.514898222231</v>
      </c>
      <c r="F6" s="229">
        <f>'Non-CHT'!G24</f>
        <v>11484.829777323379</v>
      </c>
      <c r="G6" s="229">
        <f>'Non-CHT'!H24</f>
        <v>22857.137334006296</v>
      </c>
      <c r="H6" s="229">
        <f>'Non-CHT'!I24</f>
        <v>34555.451495182417</v>
      </c>
      <c r="I6" s="229">
        <f>'Non-CHT'!J24</f>
        <v>14805.68828034676</v>
      </c>
      <c r="J6" s="219" t="s">
        <v>392</v>
      </c>
    </row>
    <row r="7" spans="1:10" x14ac:dyDescent="0.35">
      <c r="A7" s="216"/>
      <c r="B7" s="384" t="s">
        <v>213</v>
      </c>
      <c r="C7" s="384"/>
      <c r="D7" s="385"/>
      <c r="E7" s="229">
        <f>'Non-CHT'!F39</f>
        <v>30571.273934277386</v>
      </c>
      <c r="F7" s="229">
        <f>'Non-CHT'!G39</f>
        <v>11542.867065261038</v>
      </c>
      <c r="G7" s="229">
        <f>'Non-CHT'!H39</f>
        <v>22603.256525718298</v>
      </c>
      <c r="H7" s="229">
        <f>'Non-CHT'!I39</f>
        <v>29199.083561024672</v>
      </c>
      <c r="I7" s="229">
        <f>'Non-CHT'!J39</f>
        <v>14475.261218643449</v>
      </c>
      <c r="J7" s="219" t="s">
        <v>394</v>
      </c>
    </row>
    <row r="8" spans="1:10" x14ac:dyDescent="0.35">
      <c r="A8" s="216"/>
      <c r="B8" s="386" t="s">
        <v>214</v>
      </c>
      <c r="C8" s="386"/>
      <c r="D8" s="387"/>
      <c r="E8" s="231">
        <f>'Non-CHT'!F55</f>
        <v>149205.98882909885</v>
      </c>
      <c r="F8" s="231">
        <f>'Non-CHT'!G55</f>
        <v>92183.022334977752</v>
      </c>
      <c r="G8" s="231">
        <f>'Non-CHT'!H55</f>
        <v>195512.82282230971</v>
      </c>
      <c r="H8" s="231">
        <f>'Non-CHT'!I55</f>
        <v>152213.65771825355</v>
      </c>
      <c r="I8" s="231">
        <f>'Non-CHT'!J55</f>
        <v>112011.91412366799</v>
      </c>
      <c r="J8" s="219" t="s">
        <v>393</v>
      </c>
    </row>
    <row r="9" spans="1:10" x14ac:dyDescent="0.35">
      <c r="A9" s="216"/>
      <c r="B9" s="379" t="s">
        <v>384</v>
      </c>
      <c r="C9" s="379"/>
      <c r="D9" s="379"/>
      <c r="E9" s="311">
        <f>SUM(E4:E7)</f>
        <v>305044.70940786193</v>
      </c>
      <c r="F9" s="311">
        <f t="shared" ref="F9:I9" si="0">SUM(F4:F7)</f>
        <v>367236.63808918366</v>
      </c>
      <c r="G9" s="311">
        <f t="shared" si="0"/>
        <v>1169801.534336952</v>
      </c>
      <c r="H9" s="232">
        <f t="shared" si="0"/>
        <v>388559.45760582824</v>
      </c>
      <c r="I9" s="232">
        <f t="shared" si="0"/>
        <v>483375.69471916388</v>
      </c>
      <c r="J9" s="230"/>
    </row>
    <row r="10" spans="1:10" x14ac:dyDescent="0.35">
      <c r="A10" s="217"/>
      <c r="B10" s="379" t="s">
        <v>348</v>
      </c>
      <c r="C10" s="379"/>
      <c r="D10" s="379"/>
      <c r="E10" s="311">
        <f>E8+E65</f>
        <v>499205.98882909887</v>
      </c>
      <c r="F10" s="311">
        <f>F8+F65</f>
        <v>92183.022334977752</v>
      </c>
      <c r="G10" s="311">
        <f>G8+G65</f>
        <v>235512.82282230971</v>
      </c>
      <c r="H10" s="232">
        <f>H8+H65</f>
        <v>502213.65771825355</v>
      </c>
      <c r="I10" s="232">
        <f>I8+I65</f>
        <v>112011.91412366799</v>
      </c>
      <c r="J10" s="217"/>
    </row>
    <row r="11" spans="1:10" x14ac:dyDescent="0.35">
      <c r="A11" s="216"/>
      <c r="B11" s="379" t="s">
        <v>209</v>
      </c>
      <c r="C11" s="379"/>
      <c r="D11" s="379"/>
      <c r="E11" s="232">
        <f>SUM(E9:E10)</f>
        <v>804250.6982369608</v>
      </c>
      <c r="F11" s="232">
        <f t="shared" ref="F11:I11" si="1">SUM(F9:F10)</f>
        <v>459419.66042416141</v>
      </c>
      <c r="G11" s="232">
        <f t="shared" si="1"/>
        <v>1405314.3571592618</v>
      </c>
      <c r="H11" s="232">
        <f t="shared" si="1"/>
        <v>890773.11532408185</v>
      </c>
      <c r="I11" s="232">
        <f t="shared" si="1"/>
        <v>595387.6088428318</v>
      </c>
      <c r="J11" s="217"/>
    </row>
    <row r="12" spans="1:10" s="71" customFormat="1" ht="15" thickBot="1" x14ac:dyDescent="0.4">
      <c r="A12" s="220" t="s">
        <v>80</v>
      </c>
      <c r="B12" s="220"/>
      <c r="C12" s="76"/>
      <c r="D12" s="221"/>
      <c r="E12" s="222"/>
      <c r="F12" s="81"/>
      <c r="G12" s="223"/>
      <c r="H12" s="81"/>
      <c r="I12" s="222"/>
      <c r="J12" s="223"/>
    </row>
    <row r="13" spans="1:10" s="71" customFormat="1" ht="29" x14ac:dyDescent="0.35">
      <c r="A13" s="224" t="s">
        <v>83</v>
      </c>
      <c r="B13" s="225">
        <v>6.0000000000000001E-3</v>
      </c>
      <c r="C13" s="313"/>
      <c r="D13" s="321" t="s">
        <v>385</v>
      </c>
      <c r="E13" s="322">
        <f>E5+E6+E7</f>
        <v>202495.57315218702</v>
      </c>
      <c r="F13" s="322">
        <f t="shared" ref="F13:G13" si="2">F5+F6+F7</f>
        <v>262785.01893580763</v>
      </c>
      <c r="G13" s="322">
        <f t="shared" si="2"/>
        <v>1063407.4368157729</v>
      </c>
      <c r="H13" s="314">
        <f t="shared" ref="H13:I13" si="3">H5+H6+H7</f>
        <v>280181.97479884862</v>
      </c>
      <c r="I13" s="315">
        <f t="shared" si="3"/>
        <v>372972.98578479968</v>
      </c>
      <c r="J13" s="223"/>
    </row>
    <row r="14" spans="1:10" s="71" customFormat="1" ht="29" x14ac:dyDescent="0.35">
      <c r="A14" s="224" t="s">
        <v>84</v>
      </c>
      <c r="B14" s="225">
        <v>0.01</v>
      </c>
      <c r="C14" s="223"/>
      <c r="D14" s="323" t="s">
        <v>386</v>
      </c>
      <c r="E14" s="324">
        <f>E4</f>
        <v>102549.13625567489</v>
      </c>
      <c r="F14" s="324">
        <f t="shared" ref="F14:G14" si="4">F4</f>
        <v>104451.619153376</v>
      </c>
      <c r="G14" s="324">
        <f t="shared" si="4"/>
        <v>106394.09752117895</v>
      </c>
      <c r="H14" s="316">
        <f t="shared" ref="H14:I14" si="5">H4</f>
        <v>108377.48280697962</v>
      </c>
      <c r="I14" s="317">
        <f t="shared" si="5"/>
        <v>110402.70893436419</v>
      </c>
      <c r="J14" s="223"/>
    </row>
    <row r="15" spans="1:10" s="71" customFormat="1" ht="29" x14ac:dyDescent="0.35">
      <c r="A15" s="224" t="s">
        <v>110</v>
      </c>
      <c r="B15" s="225">
        <v>2E-3</v>
      </c>
      <c r="C15" s="306"/>
      <c r="D15" s="323" t="s">
        <v>387</v>
      </c>
      <c r="E15" s="324">
        <f>E8+E64</f>
        <v>499205.98882909887</v>
      </c>
      <c r="F15" s="324">
        <f>F8+F64</f>
        <v>92183.022334977752</v>
      </c>
      <c r="G15" s="324">
        <f>G8+G64</f>
        <v>195512.82282230971</v>
      </c>
      <c r="H15" s="316">
        <f>H8+H64</f>
        <v>502213.65771825355</v>
      </c>
      <c r="I15" s="317">
        <f>I8+I64</f>
        <v>112011.91412366799</v>
      </c>
      <c r="J15" s="223"/>
    </row>
    <row r="16" spans="1:10" s="71" customFormat="1" ht="29" x14ac:dyDescent="0.35">
      <c r="A16" s="226" t="s">
        <v>81</v>
      </c>
      <c r="B16" s="225">
        <v>2E-3</v>
      </c>
      <c r="C16" s="223"/>
      <c r="D16" s="323" t="s">
        <v>388</v>
      </c>
      <c r="E16" s="325">
        <f>E63</f>
        <v>0</v>
      </c>
      <c r="F16" s="325">
        <f t="shared" ref="F16:I16" si="6">F63</f>
        <v>0</v>
      </c>
      <c r="G16" s="325">
        <f t="shared" si="6"/>
        <v>40000</v>
      </c>
      <c r="H16" s="318">
        <f t="shared" si="6"/>
        <v>0</v>
      </c>
      <c r="I16" s="319">
        <f t="shared" si="6"/>
        <v>0</v>
      </c>
      <c r="J16" s="223"/>
    </row>
    <row r="17" spans="1:10" s="71" customFormat="1" ht="29" x14ac:dyDescent="0.35">
      <c r="A17" s="227" t="s">
        <v>82</v>
      </c>
      <c r="B17" s="225">
        <v>0.01</v>
      </c>
      <c r="C17" s="223"/>
      <c r="D17" s="323" t="s">
        <v>389</v>
      </c>
      <c r="E17" s="326">
        <f>E13+E15</f>
        <v>701701.56198128592</v>
      </c>
      <c r="F17" s="326">
        <f t="shared" ref="F17:G17" si="7">F13+F15</f>
        <v>354968.04127078538</v>
      </c>
      <c r="G17" s="326">
        <f t="shared" si="7"/>
        <v>1258920.2596380827</v>
      </c>
      <c r="H17" s="329">
        <f t="shared" ref="H17:I17" si="8">H13+H15</f>
        <v>782395.63251710217</v>
      </c>
      <c r="I17" s="330">
        <f t="shared" si="8"/>
        <v>484984.89990846766</v>
      </c>
      <c r="J17" s="223"/>
    </row>
    <row r="18" spans="1:10" s="71" customFormat="1" ht="29.5" thickBot="1" x14ac:dyDescent="0.4">
      <c r="A18" s="220" t="s">
        <v>111</v>
      </c>
      <c r="B18" s="228">
        <v>0.03</v>
      </c>
      <c r="C18" s="223"/>
      <c r="D18" s="327" t="s">
        <v>390</v>
      </c>
      <c r="E18" s="328">
        <f>E14+E16</f>
        <v>102549.13625567489</v>
      </c>
      <c r="F18" s="328">
        <f t="shared" ref="F18:G18" si="9">F14+F16</f>
        <v>104451.619153376</v>
      </c>
      <c r="G18" s="328">
        <f t="shared" si="9"/>
        <v>146394.09752117895</v>
      </c>
      <c r="H18" s="331">
        <f t="shared" ref="H18:I18" si="10">H14+H16</f>
        <v>108377.48280697962</v>
      </c>
      <c r="I18" s="332">
        <f t="shared" si="10"/>
        <v>110402.70893436419</v>
      </c>
      <c r="J18" s="223"/>
    </row>
    <row r="19" spans="1:10" s="71" customFormat="1" ht="14.5" x14ac:dyDescent="0.35">
      <c r="A19" s="220"/>
      <c r="B19" s="228"/>
      <c r="C19" s="223"/>
      <c r="D19" s="347"/>
      <c r="E19" s="320"/>
      <c r="F19" s="320"/>
      <c r="G19" s="320"/>
      <c r="H19" s="333"/>
      <c r="I19" s="334"/>
      <c r="J19" s="223"/>
    </row>
    <row r="20" spans="1:10" s="71" customFormat="1" ht="14.5" x14ac:dyDescent="0.35">
      <c r="A20" s="339" t="s">
        <v>364</v>
      </c>
      <c r="B20" s="340">
        <v>1.6799999999999999E-2</v>
      </c>
      <c r="D20" s="106"/>
      <c r="E20" s="80"/>
      <c r="F20" s="81"/>
      <c r="H20" s="81"/>
      <c r="I20" s="80"/>
    </row>
    <row r="21" spans="1:10" s="71" customFormat="1" ht="14.5" x14ac:dyDescent="0.35">
      <c r="A21" s="335" t="s">
        <v>346</v>
      </c>
      <c r="B21" s="335"/>
      <c r="C21" s="336"/>
      <c r="D21" s="337"/>
      <c r="E21" s="338">
        <f>'LLIN CHT'!F14</f>
        <v>2244081.05883375</v>
      </c>
      <c r="F21" s="338">
        <f>'LLIN CHT'!G14</f>
        <v>2287770.2009090162</v>
      </c>
      <c r="G21" s="338">
        <f>'LLIN CHT'!H14</f>
        <v>2332461.1124851624</v>
      </c>
      <c r="H21" s="338">
        <f>'LLIN CHT'!I14</f>
        <v>2378178.607423075</v>
      </c>
      <c r="I21" s="338">
        <f>'LLIN CHT'!J14</f>
        <v>2424948.1552353599</v>
      </c>
    </row>
    <row r="22" spans="1:10" s="71" customFormat="1" ht="14.5" x14ac:dyDescent="0.35">
      <c r="A22" s="335" t="s">
        <v>367</v>
      </c>
      <c r="B22" s="335"/>
      <c r="C22" s="338">
        <v>1135742</v>
      </c>
      <c r="D22" s="338">
        <f>C22*(1+$B$20)</f>
        <v>1154822.4656</v>
      </c>
      <c r="E22" s="338">
        <f t="shared" ref="E22:I22" si="11">D22*(1+$B$20)</f>
        <v>1174223.4830220798</v>
      </c>
      <c r="F22" s="338">
        <f t="shared" si="11"/>
        <v>1193950.4375368506</v>
      </c>
      <c r="G22" s="338">
        <f t="shared" si="11"/>
        <v>1214008.8048874696</v>
      </c>
      <c r="H22" s="338">
        <f t="shared" si="11"/>
        <v>1234404.1528095789</v>
      </c>
      <c r="I22" s="338">
        <f t="shared" si="11"/>
        <v>1255142.1425767797</v>
      </c>
    </row>
    <row r="23" spans="1:10" s="71" customFormat="1" x14ac:dyDescent="0.35">
      <c r="A23" s="127" t="s">
        <v>204</v>
      </c>
      <c r="B23" s="23">
        <v>2018</v>
      </c>
      <c r="C23" s="23">
        <v>2019</v>
      </c>
      <c r="D23" s="23">
        <v>2020</v>
      </c>
      <c r="E23" s="23">
        <v>2021</v>
      </c>
      <c r="F23" s="23">
        <v>2022</v>
      </c>
      <c r="G23" s="23">
        <v>2023</v>
      </c>
      <c r="H23" s="23">
        <v>2024</v>
      </c>
      <c r="I23" s="23">
        <v>2025</v>
      </c>
    </row>
    <row r="24" spans="1:10" x14ac:dyDescent="0.35">
      <c r="A24" s="126" t="s">
        <v>130</v>
      </c>
      <c r="B24" s="198"/>
      <c r="C24" s="3"/>
      <c r="D24" s="3"/>
      <c r="E24" s="9">
        <f>E21+E22</f>
        <v>3418304.5418558298</v>
      </c>
      <c r="F24" s="9">
        <f t="shared" ref="F24:I24" si="12">F21+F22</f>
        <v>3481720.6384458668</v>
      </c>
      <c r="G24" s="9">
        <f t="shared" si="12"/>
        <v>3546469.9173726318</v>
      </c>
      <c r="H24" s="9">
        <f t="shared" si="12"/>
        <v>3612582.7602326539</v>
      </c>
      <c r="I24" s="9">
        <f t="shared" si="12"/>
        <v>3680090.2978121396</v>
      </c>
    </row>
    <row r="25" spans="1:10" x14ac:dyDescent="0.35">
      <c r="A25" s="125" t="s">
        <v>205</v>
      </c>
      <c r="B25" s="198"/>
      <c r="C25" s="3"/>
      <c r="D25" s="3"/>
      <c r="E25" s="102">
        <f>$B18*E24</f>
        <v>102549.13625567489</v>
      </c>
      <c r="F25" s="102">
        <f>$B18*F24</f>
        <v>104451.619153376</v>
      </c>
      <c r="G25" s="102">
        <f>$B18*G24</f>
        <v>106394.09752117895</v>
      </c>
      <c r="H25" s="102">
        <f>$B18*H24</f>
        <v>108377.48280697962</v>
      </c>
      <c r="I25" s="102">
        <f>$B18*I24</f>
        <v>110402.70893436419</v>
      </c>
    </row>
    <row r="26" spans="1:10" x14ac:dyDescent="0.35">
      <c r="A26" s="125" t="s">
        <v>206</v>
      </c>
      <c r="B26" s="199"/>
      <c r="C26" s="3"/>
      <c r="D26" s="3">
        <v>40000</v>
      </c>
      <c r="E26" s="3"/>
      <c r="F26" s="3"/>
      <c r="G26" s="3"/>
      <c r="H26" s="3"/>
      <c r="I26" s="3"/>
    </row>
    <row r="27" spans="1:10" x14ac:dyDescent="0.35">
      <c r="A27" s="125" t="s">
        <v>207</v>
      </c>
      <c r="B27" s="3">
        <v>326000</v>
      </c>
      <c r="C27" s="3"/>
      <c r="D27" s="3"/>
      <c r="E27" s="3"/>
      <c r="F27" s="19"/>
      <c r="G27" s="3"/>
      <c r="H27" s="3"/>
      <c r="I27" s="3"/>
    </row>
    <row r="28" spans="1:10" x14ac:dyDescent="0.35">
      <c r="A28" s="191" t="s">
        <v>148</v>
      </c>
      <c r="B28" s="200"/>
      <c r="C28" s="200"/>
      <c r="D28" s="200"/>
      <c r="E28" s="201">
        <f>SUM(E25:E27)</f>
        <v>102549.13625567489</v>
      </c>
      <c r="F28" s="201">
        <f>SUM(F25:F27)</f>
        <v>104451.619153376</v>
      </c>
      <c r="G28" s="201">
        <f>SUM(G25:G27)</f>
        <v>106394.09752117895</v>
      </c>
      <c r="H28" s="201">
        <f>SUM(H25:H27)</f>
        <v>108377.48280697962</v>
      </c>
      <c r="I28" s="201">
        <f>SUM(I25:I27)</f>
        <v>110402.70893436419</v>
      </c>
      <c r="J28" s="17"/>
    </row>
    <row r="29" spans="1:10" hidden="1" x14ac:dyDescent="0.35">
      <c r="A29" s="202"/>
      <c r="B29" s="202"/>
      <c r="C29" s="206"/>
      <c r="D29" s="206"/>
      <c r="E29" s="206">
        <v>2021</v>
      </c>
      <c r="F29" s="206">
        <v>2022</v>
      </c>
      <c r="G29" s="206">
        <v>2023</v>
      </c>
      <c r="H29" s="203"/>
      <c r="I29" s="15"/>
    </row>
    <row r="30" spans="1:10" hidden="1" x14ac:dyDescent="0.35">
      <c r="B30" s="34"/>
      <c r="C30" s="205" t="s">
        <v>140</v>
      </c>
      <c r="D30" s="207"/>
      <c r="E30" s="207" t="e">
        <f>#REF!+#REF!</f>
        <v>#REF!</v>
      </c>
      <c r="F30" s="207" t="e">
        <f>#REF!+#REF!</f>
        <v>#REF!</v>
      </c>
      <c r="G30" s="207" t="e">
        <f>#REF!+#REF!</f>
        <v>#REF!</v>
      </c>
    </row>
    <row r="31" spans="1:10" hidden="1" x14ac:dyDescent="0.35">
      <c r="A31" s="125"/>
      <c r="B31" s="208"/>
      <c r="C31" s="205" t="s">
        <v>141</v>
      </c>
      <c r="D31" s="207"/>
      <c r="E31" s="207">
        <f>'LLIN CHT'!D14</f>
        <v>2159612</v>
      </c>
      <c r="F31" s="207">
        <f>'LLIN CHT'!E14</f>
        <v>2201369.5103000002</v>
      </c>
      <c r="G31" s="207">
        <f>'LLIN CHT'!F14</f>
        <v>2244081.05883375</v>
      </c>
    </row>
    <row r="32" spans="1:10" hidden="1" x14ac:dyDescent="0.35">
      <c r="A32" s="125"/>
      <c r="B32" s="208"/>
      <c r="C32" s="205" t="s">
        <v>142</v>
      </c>
      <c r="D32" s="207"/>
      <c r="E32" s="207" t="e">
        <f>#REF!</f>
        <v>#REF!</v>
      </c>
      <c r="F32" s="207" t="e">
        <f>#REF!</f>
        <v>#REF!</v>
      </c>
      <c r="G32" s="207" t="e">
        <f>#REF!</f>
        <v>#REF!</v>
      </c>
    </row>
    <row r="33" spans="2:9" hidden="1" x14ac:dyDescent="0.35">
      <c r="B33" s="34"/>
      <c r="C33" s="205" t="s">
        <v>143</v>
      </c>
      <c r="D33" s="207"/>
      <c r="E33" s="207" t="e">
        <f>#REF!</f>
        <v>#REF!</v>
      </c>
      <c r="F33" s="207" t="e">
        <f>#REF!</f>
        <v>#REF!</v>
      </c>
      <c r="G33" s="207" t="e">
        <f>#REF!</f>
        <v>#REF!</v>
      </c>
    </row>
    <row r="34" spans="2:9" hidden="1" x14ac:dyDescent="0.35">
      <c r="B34" s="34"/>
      <c r="C34" s="205" t="s">
        <v>144</v>
      </c>
      <c r="D34" s="207"/>
      <c r="E34" s="207" t="e">
        <f>#REF!</f>
        <v>#REF!</v>
      </c>
      <c r="F34" s="207" t="e">
        <f>#REF!</f>
        <v>#REF!</v>
      </c>
      <c r="G34" s="207" t="e">
        <f>#REF!</f>
        <v>#REF!</v>
      </c>
    </row>
    <row r="35" spans="2:9" hidden="1" x14ac:dyDescent="0.35">
      <c r="B35" s="34"/>
      <c r="C35" s="205" t="s">
        <v>145</v>
      </c>
      <c r="D35" s="207"/>
      <c r="E35" s="207" t="e">
        <f>#REF!</f>
        <v>#REF!</v>
      </c>
      <c r="F35" s="207" t="e">
        <f>#REF!</f>
        <v>#REF!</v>
      </c>
      <c r="G35" s="207" t="e">
        <f>#REF!</f>
        <v>#REF!</v>
      </c>
    </row>
    <row r="36" spans="2:9" hidden="1" x14ac:dyDescent="0.35">
      <c r="B36" s="34"/>
      <c r="C36" s="209" t="s">
        <v>139</v>
      </c>
      <c r="D36" s="210"/>
      <c r="E36" s="211" t="e">
        <f>SUM(E30:E34)</f>
        <v>#REF!</v>
      </c>
      <c r="F36" s="211" t="e">
        <f>SUM(F30:F34)</f>
        <v>#REF!</v>
      </c>
      <c r="G36" s="211" t="e">
        <f>SUM(G30:G34)</f>
        <v>#REF!</v>
      </c>
    </row>
    <row r="37" spans="2:9" hidden="1" x14ac:dyDescent="0.35">
      <c r="B37" s="34"/>
      <c r="C37" s="205" t="s">
        <v>138</v>
      </c>
      <c r="D37" s="211"/>
      <c r="E37" s="211" t="e">
        <f>E35</f>
        <v>#REF!</v>
      </c>
      <c r="F37" s="211" t="e">
        <f>F35</f>
        <v>#REF!</v>
      </c>
      <c r="G37" s="211" t="e">
        <f>G35</f>
        <v>#REF!</v>
      </c>
    </row>
    <row r="38" spans="2:9" hidden="1" x14ac:dyDescent="0.35">
      <c r="B38" s="34"/>
      <c r="C38" s="205" t="s">
        <v>2</v>
      </c>
      <c r="D38" s="207"/>
      <c r="E38" s="211" t="e">
        <f>E36+E37</f>
        <v>#REF!</v>
      </c>
      <c r="F38" s="211" t="e">
        <f>F36+F37</f>
        <v>#REF!</v>
      </c>
      <c r="G38" s="211" t="e">
        <f>G36+G37</f>
        <v>#REF!</v>
      </c>
    </row>
    <row r="39" spans="2:9" hidden="1" x14ac:dyDescent="0.35">
      <c r="B39" s="34"/>
      <c r="C39" s="205"/>
      <c r="D39" s="205"/>
      <c r="E39" s="205"/>
      <c r="F39" s="205"/>
      <c r="G39" s="205"/>
    </row>
    <row r="40" spans="2:9" hidden="1" x14ac:dyDescent="0.35">
      <c r="B40" s="34"/>
      <c r="C40" s="204" t="s">
        <v>131</v>
      </c>
      <c r="D40" s="205"/>
      <c r="E40" s="205"/>
      <c r="F40" s="205"/>
      <c r="G40" s="205"/>
      <c r="I40" s="17"/>
    </row>
    <row r="41" spans="2:9" hidden="1" x14ac:dyDescent="0.35">
      <c r="B41" s="34"/>
      <c r="C41" s="206"/>
      <c r="D41" s="206"/>
      <c r="E41" s="206">
        <v>2021</v>
      </c>
      <c r="F41" s="206">
        <v>2022</v>
      </c>
      <c r="G41" s="206">
        <v>2023</v>
      </c>
    </row>
    <row r="42" spans="2:9" hidden="1" x14ac:dyDescent="0.35">
      <c r="B42" s="34"/>
      <c r="C42" s="205" t="s">
        <v>140</v>
      </c>
      <c r="D42" s="207"/>
      <c r="E42" s="207" t="e">
        <f>E30</f>
        <v>#REF!</v>
      </c>
      <c r="F42" s="207" t="e">
        <f>F30</f>
        <v>#REF!</v>
      </c>
      <c r="G42" s="207" t="e">
        <f>G30</f>
        <v>#REF!</v>
      </c>
    </row>
    <row r="43" spans="2:9" hidden="1" x14ac:dyDescent="0.35">
      <c r="B43" s="34"/>
      <c r="C43" s="205" t="s">
        <v>141</v>
      </c>
      <c r="D43" s="207"/>
      <c r="E43" s="207">
        <f>'LLIN CHT'!D17</f>
        <v>53136.35</v>
      </c>
      <c r="F43" s="207">
        <f>'LLIN CHT'!E18</f>
        <v>104861</v>
      </c>
      <c r="G43" s="207">
        <f>'LLIN CHT'!F19</f>
        <v>1080064.5</v>
      </c>
    </row>
    <row r="44" spans="2:9" hidden="1" x14ac:dyDescent="0.35">
      <c r="B44" s="34"/>
      <c r="C44" s="205" t="s">
        <v>142</v>
      </c>
      <c r="D44" s="207"/>
      <c r="E44" s="207" t="e">
        <f>#REF!</f>
        <v>#REF!</v>
      </c>
      <c r="F44" s="207" t="e">
        <f>#REF!</f>
        <v>#REF!</v>
      </c>
      <c r="G44" s="207" t="e">
        <f>#REF!</f>
        <v>#REF!</v>
      </c>
    </row>
    <row r="45" spans="2:9" hidden="1" x14ac:dyDescent="0.35">
      <c r="B45" s="34"/>
      <c r="C45" s="205" t="s">
        <v>143</v>
      </c>
      <c r="D45" s="207"/>
      <c r="E45" s="207" t="e">
        <f>#REF!</f>
        <v>#REF!</v>
      </c>
      <c r="F45" s="207" t="e">
        <f>#REF!</f>
        <v>#REF!</v>
      </c>
      <c r="G45" s="207" t="e">
        <f>#REF!</f>
        <v>#REF!</v>
      </c>
    </row>
    <row r="46" spans="2:9" hidden="1" x14ac:dyDescent="0.35">
      <c r="B46" s="34"/>
      <c r="C46" s="205" t="s">
        <v>144</v>
      </c>
      <c r="D46" s="207"/>
      <c r="E46" s="207" t="e">
        <f>#REF!</f>
        <v>#REF!</v>
      </c>
      <c r="F46" s="207" t="e">
        <f>#REF!</f>
        <v>#REF!</v>
      </c>
      <c r="G46" s="207" t="e">
        <f>#REF!</f>
        <v>#REF!</v>
      </c>
    </row>
    <row r="47" spans="2:9" hidden="1" x14ac:dyDescent="0.35">
      <c r="B47" s="34"/>
      <c r="C47" s="205" t="s">
        <v>145</v>
      </c>
      <c r="D47" s="207"/>
      <c r="E47" s="207" t="e">
        <f>#REF!</f>
        <v>#REF!</v>
      </c>
      <c r="F47" s="207" t="e">
        <f>#REF!</f>
        <v>#REF!</v>
      </c>
      <c r="G47" s="207" t="e">
        <f>#REF!</f>
        <v>#REF!</v>
      </c>
    </row>
    <row r="48" spans="2:9" hidden="1" x14ac:dyDescent="0.35">
      <c r="B48" s="34"/>
      <c r="C48" s="209" t="s">
        <v>139</v>
      </c>
      <c r="D48" s="207"/>
      <c r="E48" s="210" t="e">
        <f>SUM(E42:E46)</f>
        <v>#REF!</v>
      </c>
      <c r="F48" s="210" t="e">
        <f>SUM(F42:F46)</f>
        <v>#REF!</v>
      </c>
      <c r="G48" s="210" t="e">
        <f>SUM(G42:G46)</f>
        <v>#REF!</v>
      </c>
    </row>
    <row r="49" spans="1:9" hidden="1" x14ac:dyDescent="0.35">
      <c r="B49" s="34"/>
      <c r="C49" s="205" t="s">
        <v>138</v>
      </c>
      <c r="D49" s="211"/>
      <c r="E49" s="211" t="e">
        <f>E47</f>
        <v>#REF!</v>
      </c>
      <c r="F49" s="211" t="e">
        <f>F47</f>
        <v>#REF!</v>
      </c>
      <c r="G49" s="211" t="e">
        <f>G47</f>
        <v>#REF!</v>
      </c>
    </row>
    <row r="50" spans="1:9" hidden="1" x14ac:dyDescent="0.35">
      <c r="B50" s="34"/>
      <c r="C50" s="205" t="s">
        <v>146</v>
      </c>
      <c r="D50" s="211"/>
      <c r="E50" s="211" t="e">
        <f>E49+E48</f>
        <v>#REF!</v>
      </c>
      <c r="F50" s="211" t="e">
        <f>F49+F48</f>
        <v>#REF!</v>
      </c>
      <c r="G50" s="211" t="e">
        <f>G49+G48</f>
        <v>#REF!</v>
      </c>
    </row>
    <row r="51" spans="1:9" hidden="1" x14ac:dyDescent="0.35">
      <c r="B51" s="34"/>
      <c r="C51" s="205" t="s">
        <v>132</v>
      </c>
      <c r="D51" s="207"/>
      <c r="E51" s="211" t="e">
        <f>SUM(E43:E47)</f>
        <v>#REF!</v>
      </c>
      <c r="F51" s="211" t="e">
        <f>SUM(F43:F47)</f>
        <v>#REF!</v>
      </c>
      <c r="G51" s="211" t="e">
        <f>SUM(G43:G47)</f>
        <v>#REF!</v>
      </c>
    </row>
    <row r="52" spans="1:9" hidden="1" x14ac:dyDescent="0.35">
      <c r="B52" s="34"/>
      <c r="C52" s="205" t="s">
        <v>147</v>
      </c>
      <c r="D52" s="205"/>
      <c r="E52" s="212" t="e">
        <f>E49/E50</f>
        <v>#REF!</v>
      </c>
      <c r="F52" s="212" t="e">
        <f>F49/F50</f>
        <v>#REF!</v>
      </c>
      <c r="G52" s="212" t="e">
        <f>G49/G50</f>
        <v>#REF!</v>
      </c>
    </row>
    <row r="53" spans="1:9" ht="16" hidden="1" thickBot="1" x14ac:dyDescent="0.4">
      <c r="B53" s="34"/>
      <c r="C53" s="213" t="s">
        <v>170</v>
      </c>
      <c r="D53" s="214" t="e">
        <f>#REF!-#REF!-#REF!</f>
        <v>#REF!</v>
      </c>
      <c r="E53" s="214" t="e">
        <f>#REF!-#REF!-#REF!</f>
        <v>#REF!</v>
      </c>
      <c r="F53" s="214" t="e">
        <f>#REF!-#REF!-#REF!</f>
        <v>#REF!</v>
      </c>
      <c r="G53" s="215" t="e">
        <f>SUM(D53:F53)</f>
        <v>#REF!</v>
      </c>
    </row>
    <row r="54" spans="1:9" x14ac:dyDescent="0.35">
      <c r="B54" s="34"/>
      <c r="C54" s="34"/>
      <c r="D54" s="34"/>
      <c r="E54" s="34"/>
      <c r="F54" s="34"/>
      <c r="G54" s="34"/>
    </row>
    <row r="55" spans="1:9" x14ac:dyDescent="0.35">
      <c r="A55" s="339" t="s">
        <v>365</v>
      </c>
      <c r="B55" s="340">
        <v>1.6E-2</v>
      </c>
    </row>
    <row r="56" spans="1:9" x14ac:dyDescent="0.35">
      <c r="A56" s="335" t="s">
        <v>366</v>
      </c>
      <c r="B56" s="335"/>
      <c r="C56" s="338">
        <v>231434</v>
      </c>
      <c r="D56" s="338">
        <f>C56*(1+$B$55)</f>
        <v>235136.94400000002</v>
      </c>
      <c r="E56" s="338">
        <f t="shared" ref="E56:I56" si="13">D56*(1+$B$55)</f>
        <v>238899.13510400002</v>
      </c>
      <c r="F56" s="338">
        <f t="shared" si="13"/>
        <v>242721.52126566402</v>
      </c>
      <c r="G56" s="338">
        <f t="shared" si="13"/>
        <v>246605.06560591466</v>
      </c>
      <c r="H56" s="338">
        <f t="shared" si="13"/>
        <v>250550.74665560928</v>
      </c>
      <c r="I56" s="338">
        <f t="shared" si="13"/>
        <v>254559.55860209904</v>
      </c>
    </row>
    <row r="57" spans="1:9" x14ac:dyDescent="0.35">
      <c r="A57" s="127" t="s">
        <v>204</v>
      </c>
      <c r="B57" s="23">
        <v>2018</v>
      </c>
      <c r="C57" s="23">
        <v>2019</v>
      </c>
      <c r="D57" s="23">
        <v>2020</v>
      </c>
      <c r="E57" s="23">
        <v>2021</v>
      </c>
      <c r="F57" s="23">
        <v>2022</v>
      </c>
      <c r="G57" s="23">
        <v>2023</v>
      </c>
      <c r="H57" s="23">
        <v>2024</v>
      </c>
      <c r="I57" s="23">
        <v>2025</v>
      </c>
    </row>
    <row r="58" spans="1:9" x14ac:dyDescent="0.35">
      <c r="A58" s="126" t="s">
        <v>130</v>
      </c>
      <c r="B58" s="198"/>
      <c r="C58" s="3"/>
      <c r="D58" s="3"/>
      <c r="E58" s="9">
        <f>E56</f>
        <v>238899.13510400002</v>
      </c>
      <c r="F58" s="9">
        <f t="shared" ref="F58:I58" si="14">F56</f>
        <v>242721.52126566402</v>
      </c>
      <c r="G58" s="9">
        <f t="shared" si="14"/>
        <v>246605.06560591466</v>
      </c>
      <c r="H58" s="9">
        <f t="shared" si="14"/>
        <v>250550.74665560928</v>
      </c>
      <c r="I58" s="9">
        <f t="shared" si="14"/>
        <v>254559.55860209904</v>
      </c>
    </row>
    <row r="59" spans="1:9" x14ac:dyDescent="0.35">
      <c r="A59" s="125" t="s">
        <v>205</v>
      </c>
      <c r="B59" s="198"/>
      <c r="C59" s="3"/>
      <c r="D59" s="3"/>
      <c r="E59" s="102">
        <f>$B18*E58</f>
        <v>7166.9740531200005</v>
      </c>
      <c r="F59" s="102">
        <f>$B18*F58</f>
        <v>7281.6456379699202</v>
      </c>
      <c r="G59" s="102">
        <f>$B18*G58</f>
        <v>7398.1519681774398</v>
      </c>
      <c r="H59" s="102">
        <f>$B18*H58</f>
        <v>7516.522399668278</v>
      </c>
      <c r="I59" s="102">
        <f>$B18*I58</f>
        <v>7636.7867580629709</v>
      </c>
    </row>
    <row r="62" spans="1:9" x14ac:dyDescent="0.35">
      <c r="A62" s="200" t="s">
        <v>383</v>
      </c>
      <c r="E62" s="132">
        <v>2021</v>
      </c>
      <c r="F62" s="132">
        <v>2022</v>
      </c>
      <c r="G62" s="132">
        <v>2023</v>
      </c>
      <c r="H62" s="132">
        <v>2024</v>
      </c>
      <c r="I62" s="132">
        <v>2025</v>
      </c>
    </row>
    <row r="63" spans="1:9" x14ac:dyDescent="0.35">
      <c r="A63" s="199" t="s">
        <v>206</v>
      </c>
      <c r="B63" s="3"/>
      <c r="C63" s="3"/>
      <c r="D63" s="3"/>
      <c r="E63" s="3"/>
      <c r="F63" s="3"/>
      <c r="G63" s="3">
        <v>40000</v>
      </c>
      <c r="H63" s="3"/>
      <c r="I63" s="3"/>
    </row>
    <row r="64" spans="1:9" x14ac:dyDescent="0.35">
      <c r="A64" s="199" t="s">
        <v>207</v>
      </c>
      <c r="B64" s="3"/>
      <c r="C64" s="3"/>
      <c r="D64" s="3"/>
      <c r="E64" s="3">
        <v>350000</v>
      </c>
      <c r="F64" s="3"/>
      <c r="G64" s="3"/>
      <c r="H64" s="3">
        <v>350000</v>
      </c>
      <c r="I64" s="3"/>
    </row>
    <row r="65" spans="1:9" s="22" customFormat="1" x14ac:dyDescent="0.35">
      <c r="A65" s="312" t="s">
        <v>2</v>
      </c>
      <c r="B65" s="312"/>
      <c r="C65" s="312"/>
      <c r="D65" s="312"/>
      <c r="E65" s="312">
        <f>SUM(E63:E64)</f>
        <v>350000</v>
      </c>
      <c r="F65" s="312">
        <f t="shared" ref="F65:I65" si="15">SUM(F63:F64)</f>
        <v>0</v>
      </c>
      <c r="G65" s="312">
        <f t="shared" si="15"/>
        <v>40000</v>
      </c>
      <c r="H65" s="312">
        <f t="shared" si="15"/>
        <v>350000</v>
      </c>
      <c r="I65" s="312">
        <f t="shared" si="15"/>
        <v>0</v>
      </c>
    </row>
  </sheetData>
  <mergeCells count="9">
    <mergeCell ref="A1:J1"/>
    <mergeCell ref="B9:D9"/>
    <mergeCell ref="B10:D10"/>
    <mergeCell ref="B11:D11"/>
    <mergeCell ref="B4:D4"/>
    <mergeCell ref="B5:D5"/>
    <mergeCell ref="B6:D6"/>
    <mergeCell ref="B7:D7"/>
    <mergeCell ref="B8:D8"/>
  </mergeCells>
  <pageMargins left="0.75" right="0.75" top="1" bottom="1" header="0.5" footer="0.5"/>
  <pageSetup paperSize="9" orientation="portrait" horizontalDpi="4294967292" verticalDpi="4294967292"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9"/>
  <sheetViews>
    <sheetView zoomScale="90" zoomScaleNormal="90" zoomScalePageLayoutView="85" workbookViewId="0">
      <pane xSplit="1" topLeftCell="B1" activePane="topRight" state="frozen"/>
      <selection pane="topRight" activeCell="A92" sqref="A92:XFD92"/>
    </sheetView>
  </sheetViews>
  <sheetFormatPr defaultColWidth="8.83203125" defaultRowHeight="15.5" x14ac:dyDescent="0.35"/>
  <cols>
    <col min="1" max="1" width="47.25" customWidth="1"/>
    <col min="2" max="6" width="14" customWidth="1"/>
    <col min="8" max="8" width="16.75" customWidth="1"/>
    <col min="9" max="9" width="12.33203125" bestFit="1" customWidth="1"/>
    <col min="10" max="10" width="10.1640625" bestFit="1" customWidth="1"/>
    <col min="11" max="11" width="12.33203125" bestFit="1" customWidth="1"/>
    <col min="12" max="12" width="12.1640625" customWidth="1"/>
  </cols>
  <sheetData>
    <row r="1" spans="1:10" s="1" customFormat="1" ht="13" x14ac:dyDescent="0.35">
      <c r="A1" s="1" t="s">
        <v>1</v>
      </c>
    </row>
    <row r="2" spans="1:10" s="1" customFormat="1" ht="13" x14ac:dyDescent="0.35"/>
    <row r="3" spans="1:10" s="1" customFormat="1" ht="13" x14ac:dyDescent="0.35">
      <c r="A3" s="20" t="s">
        <v>4</v>
      </c>
      <c r="B3" s="20">
        <v>1.47E-2</v>
      </c>
    </row>
    <row r="4" spans="1:10" s="1" customFormat="1" ht="13" x14ac:dyDescent="0.35"/>
    <row r="5" spans="1:10" s="1" customFormat="1" x14ac:dyDescent="0.35">
      <c r="B5" s="23">
        <v>2021</v>
      </c>
      <c r="C5" s="23">
        <v>2022</v>
      </c>
      <c r="D5" s="23">
        <v>2023</v>
      </c>
      <c r="E5" s="23">
        <v>2024</v>
      </c>
      <c r="F5" s="23">
        <v>2025</v>
      </c>
    </row>
    <row r="6" spans="1:10" s="1" customFormat="1" x14ac:dyDescent="0.35">
      <c r="A6" s="3" t="s">
        <v>190</v>
      </c>
      <c r="B6" s="11">
        <v>0.8</v>
      </c>
      <c r="C6" s="11">
        <v>0.8</v>
      </c>
      <c r="D6" s="11">
        <v>0.8</v>
      </c>
      <c r="E6" s="11">
        <v>0.8</v>
      </c>
      <c r="F6" s="11">
        <v>0.8</v>
      </c>
    </row>
    <row r="7" spans="1:10" s="1" customFormat="1" x14ac:dyDescent="0.35">
      <c r="A7" s="3" t="s">
        <v>191</v>
      </c>
      <c r="B7" s="11">
        <v>0.8</v>
      </c>
      <c r="C7" s="11">
        <v>0.8</v>
      </c>
      <c r="D7" s="11">
        <v>0.8</v>
      </c>
      <c r="E7" s="11">
        <v>0.8</v>
      </c>
      <c r="F7" s="11">
        <v>0.8</v>
      </c>
    </row>
    <row r="8" spans="1:10" s="1" customFormat="1" x14ac:dyDescent="0.35">
      <c r="A8" s="14"/>
      <c r="B8" s="302"/>
      <c r="C8" s="302"/>
      <c r="D8" s="302"/>
      <c r="E8" s="302"/>
      <c r="F8" s="302"/>
    </row>
    <row r="9" spans="1:10" x14ac:dyDescent="0.35">
      <c r="B9" t="s">
        <v>354</v>
      </c>
      <c r="C9" t="s">
        <v>355</v>
      </c>
    </row>
    <row r="10" spans="1:10" x14ac:dyDescent="0.35">
      <c r="A10" s="3" t="s">
        <v>116</v>
      </c>
      <c r="B10" s="16">
        <v>0.8</v>
      </c>
      <c r="C10" s="37">
        <v>0</v>
      </c>
    </row>
    <row r="11" spans="1:10" x14ac:dyDescent="0.35">
      <c r="A11" s="3" t="s">
        <v>117</v>
      </c>
      <c r="B11" s="16">
        <v>0.8</v>
      </c>
      <c r="C11" s="37">
        <v>0</v>
      </c>
    </row>
    <row r="12" spans="1:10" x14ac:dyDescent="0.35">
      <c r="A12" s="7" t="s">
        <v>118</v>
      </c>
      <c r="B12" s="84">
        <v>0.25</v>
      </c>
    </row>
    <row r="14" spans="1:10" x14ac:dyDescent="0.35">
      <c r="A14" s="22" t="s">
        <v>171</v>
      </c>
      <c r="B14" s="23">
        <v>2021</v>
      </c>
      <c r="C14" s="23">
        <v>2022</v>
      </c>
      <c r="D14" s="23">
        <v>2023</v>
      </c>
      <c r="E14" s="23">
        <v>2024</v>
      </c>
      <c r="F14" s="23">
        <v>2025</v>
      </c>
    </row>
    <row r="15" spans="1:10" x14ac:dyDescent="0.35">
      <c r="A15" s="5" t="s">
        <v>172</v>
      </c>
      <c r="B15" s="12">
        <f>'Dist pop'!D17</f>
        <v>2244081.05883375</v>
      </c>
      <c r="C15" s="12">
        <f>'Dist pop'!E17</f>
        <v>2287770.2009090162</v>
      </c>
      <c r="D15" s="12">
        <f>'Dist pop'!F17</f>
        <v>2332461.1124851624</v>
      </c>
      <c r="E15" s="12">
        <f>'Dist pop'!G17</f>
        <v>2378178.607423075</v>
      </c>
      <c r="F15" s="12">
        <f>'Dist pop'!H17</f>
        <v>2424948.1552353599</v>
      </c>
      <c r="H15" s="171"/>
      <c r="I15" s="171"/>
      <c r="J15" s="171"/>
    </row>
    <row r="16" spans="1:10" x14ac:dyDescent="0.35">
      <c r="A16" s="5" t="s">
        <v>350</v>
      </c>
      <c r="B16" s="102">
        <f>'Dist pop'!D6+SUM('Dist pop'!D7:D10)</f>
        <v>8228466.7459380198</v>
      </c>
      <c r="C16" s="102">
        <f>'Dist pop'!E6+SUM('Dist pop'!E7:E10)</f>
        <v>8355422.0526159909</v>
      </c>
      <c r="D16" s="102">
        <f>'Dist pop'!F6+SUM('Dist pop'!F7:F10)</f>
        <v>8485147.9625142477</v>
      </c>
      <c r="E16" s="102">
        <f>'Dist pop'!G6+SUM('Dist pop'!G7:G10)</f>
        <v>8617716.5479588639</v>
      </c>
      <c r="F16" s="102">
        <f>'Dist pop'!H6+SUM('Dist pop'!H7:H10)</f>
        <v>8753202.0324172247</v>
      </c>
    </row>
    <row r="17" spans="1:10" x14ac:dyDescent="0.35">
      <c r="A17" s="5" t="s">
        <v>351</v>
      </c>
      <c r="B17" s="102">
        <f>'Dist pop'!D11+'Dist pop'!D12</f>
        <v>8897696.4963086694</v>
      </c>
      <c r="C17" s="102">
        <f>'Dist pop'!E11+'Dist pop'!E12</f>
        <v>9051390.1969299801</v>
      </c>
      <c r="D17" s="102">
        <f>'Dist pop'!F11+'Dist pop'!F12</f>
        <v>9209373.0908664726</v>
      </c>
      <c r="E17" s="102">
        <f>'Dist pop'!G11+'Dist pop'!G12</f>
        <v>9371796.4088401403</v>
      </c>
      <c r="F17" s="102">
        <f>'Dist pop'!H11+'Dist pop'!H12</f>
        <v>9538817.5417595301</v>
      </c>
    </row>
    <row r="18" spans="1:10" x14ac:dyDescent="0.35">
      <c r="A18" s="3" t="s">
        <v>2</v>
      </c>
      <c r="B18" s="19">
        <f>SUM(B15:B17)</f>
        <v>19370244.301080439</v>
      </c>
      <c r="C18" s="19">
        <f t="shared" ref="C18:F18" si="0">SUM(C15:C17)</f>
        <v>19694582.450454988</v>
      </c>
      <c r="D18" s="19">
        <f t="shared" si="0"/>
        <v>20026982.165865883</v>
      </c>
      <c r="E18" s="19">
        <f t="shared" si="0"/>
        <v>20367691.564222079</v>
      </c>
      <c r="F18" s="19">
        <f t="shared" si="0"/>
        <v>20716967.729412116</v>
      </c>
      <c r="H18" s="178"/>
      <c r="I18" s="178"/>
      <c r="J18" s="178"/>
    </row>
    <row r="20" spans="1:10" x14ac:dyDescent="0.35">
      <c r="A20" s="22" t="s">
        <v>0</v>
      </c>
      <c r="B20" s="23">
        <v>2021</v>
      </c>
      <c r="C20" s="23">
        <v>2022</v>
      </c>
      <c r="D20" s="23">
        <v>2023</v>
      </c>
      <c r="E20" s="23">
        <v>2024</v>
      </c>
      <c r="F20" s="23">
        <v>2025</v>
      </c>
    </row>
    <row r="21" spans="1:10" x14ac:dyDescent="0.35">
      <c r="A21" s="5" t="s">
        <v>172</v>
      </c>
      <c r="B21" s="4">
        <v>0.1</v>
      </c>
      <c r="C21" s="4">
        <v>0.1</v>
      </c>
      <c r="D21" s="4">
        <v>0.1</v>
      </c>
      <c r="E21" s="4">
        <v>0.1</v>
      </c>
      <c r="F21" s="4">
        <v>0.1</v>
      </c>
      <c r="H21" s="178"/>
    </row>
    <row r="22" spans="1:10" x14ac:dyDescent="0.35">
      <c r="A22" s="5" t="s">
        <v>350</v>
      </c>
      <c r="B22" s="4">
        <v>0.05</v>
      </c>
      <c r="C22" s="4">
        <v>0.05</v>
      </c>
      <c r="D22" s="4">
        <v>0.05</v>
      </c>
      <c r="E22" s="4">
        <v>0.05</v>
      </c>
      <c r="F22" s="4">
        <v>0.05</v>
      </c>
      <c r="H22" s="178"/>
    </row>
    <row r="23" spans="1:10" x14ac:dyDescent="0.35">
      <c r="A23" s="5" t="s">
        <v>351</v>
      </c>
      <c r="B23" s="4">
        <v>0.08</v>
      </c>
      <c r="C23" s="4">
        <v>0.08</v>
      </c>
      <c r="D23" s="4">
        <v>0.08</v>
      </c>
      <c r="E23" s="4">
        <v>0.08</v>
      </c>
      <c r="F23" s="4">
        <v>0.08</v>
      </c>
      <c r="H23" s="178"/>
    </row>
    <row r="24" spans="1:10" x14ac:dyDescent="0.35">
      <c r="A24" s="15"/>
      <c r="B24" s="133"/>
      <c r="H24" s="178"/>
    </row>
    <row r="25" spans="1:10" x14ac:dyDescent="0.35">
      <c r="A25" s="134" t="s">
        <v>356</v>
      </c>
      <c r="B25" s="23">
        <v>2021</v>
      </c>
      <c r="C25" s="23">
        <v>2022</v>
      </c>
      <c r="D25" s="23">
        <v>2023</v>
      </c>
      <c r="E25" s="23">
        <v>2024</v>
      </c>
      <c r="F25" s="23">
        <v>2025</v>
      </c>
      <c r="H25" s="178"/>
    </row>
    <row r="26" spans="1:10" x14ac:dyDescent="0.35">
      <c r="A26" s="5" t="s">
        <v>149</v>
      </c>
      <c r="B26" s="304">
        <f>(B15*B21)+(B17*B23)</f>
        <v>936223.82558806858</v>
      </c>
      <c r="C26" s="303">
        <f t="shared" ref="C26:F26" si="1">(C15*C21)+(C17*C23)</f>
        <v>952888.23584530002</v>
      </c>
      <c r="D26" s="303">
        <f t="shared" si="1"/>
        <v>969995.95851783408</v>
      </c>
      <c r="E26" s="303">
        <f t="shared" si="1"/>
        <v>987561.57344951876</v>
      </c>
      <c r="F26" s="303">
        <f t="shared" si="1"/>
        <v>1005600.2188642984</v>
      </c>
      <c r="H26" s="178"/>
    </row>
    <row r="27" spans="1:10" x14ac:dyDescent="0.35">
      <c r="A27" s="5" t="s">
        <v>150</v>
      </c>
      <c r="B27" s="304">
        <f>B26*B6</f>
        <v>748979.06047045486</v>
      </c>
      <c r="C27" s="304">
        <f t="shared" ref="C27:F27" si="2">C26*C6</f>
        <v>762310.58867624006</v>
      </c>
      <c r="D27" s="304">
        <f t="shared" si="2"/>
        <v>775996.76681426726</v>
      </c>
      <c r="E27" s="304">
        <f t="shared" si="2"/>
        <v>790049.25875961501</v>
      </c>
      <c r="F27" s="304">
        <f t="shared" si="2"/>
        <v>804480.17509143881</v>
      </c>
      <c r="H27" s="178"/>
    </row>
    <row r="28" spans="1:10" x14ac:dyDescent="0.35">
      <c r="A28" s="5" t="s">
        <v>151</v>
      </c>
      <c r="B28" s="303">
        <f>B26-B27</f>
        <v>187244.76511761372</v>
      </c>
      <c r="C28" s="303">
        <f t="shared" ref="C28:F28" si="3">C26-C27</f>
        <v>190577.64716905996</v>
      </c>
      <c r="D28" s="303">
        <f t="shared" si="3"/>
        <v>193999.19170356682</v>
      </c>
      <c r="E28" s="303">
        <f t="shared" si="3"/>
        <v>197512.31468990375</v>
      </c>
      <c r="F28" s="303">
        <f t="shared" si="3"/>
        <v>201120.04377285962</v>
      </c>
      <c r="H28" s="178"/>
    </row>
    <row r="29" spans="1:10" x14ac:dyDescent="0.35">
      <c r="A29" s="5" t="s">
        <v>152</v>
      </c>
      <c r="B29" s="304">
        <f>(B27*$B$11)+(B28*$B$10)</f>
        <v>748979.06047045486</v>
      </c>
      <c r="C29" s="304">
        <f t="shared" ref="C29:F29" si="4">(C27*$B$11)+(C28*$B$10)</f>
        <v>762310.58867624006</v>
      </c>
      <c r="D29" s="304">
        <f t="shared" si="4"/>
        <v>775996.76681426726</v>
      </c>
      <c r="E29" s="304">
        <f t="shared" si="4"/>
        <v>790049.25875961501</v>
      </c>
      <c r="F29" s="304">
        <f t="shared" si="4"/>
        <v>804480.17509143881</v>
      </c>
      <c r="H29" s="178"/>
    </row>
    <row r="30" spans="1:10" x14ac:dyDescent="0.35">
      <c r="A30" s="5" t="s">
        <v>153</v>
      </c>
      <c r="B30" s="303">
        <f>B26-B29</f>
        <v>187244.76511761372</v>
      </c>
      <c r="C30" s="303">
        <f t="shared" ref="C30:F30" si="5">C26-C29</f>
        <v>190577.64716905996</v>
      </c>
      <c r="D30" s="303">
        <f t="shared" si="5"/>
        <v>193999.19170356682</v>
      </c>
      <c r="E30" s="303">
        <f t="shared" si="5"/>
        <v>197512.31468990375</v>
      </c>
      <c r="F30" s="303">
        <f t="shared" si="5"/>
        <v>201120.04377285962</v>
      </c>
      <c r="H30" s="178"/>
    </row>
    <row r="31" spans="1:10" x14ac:dyDescent="0.35">
      <c r="A31" s="5" t="s">
        <v>154</v>
      </c>
      <c r="B31" s="303">
        <f>B27*(1-$B$11)</f>
        <v>149795.81209409094</v>
      </c>
      <c r="C31" s="303">
        <f t="shared" ref="C31:F31" si="6">C27*(1-$B$11)</f>
        <v>152462.11773524797</v>
      </c>
      <c r="D31" s="303">
        <f t="shared" si="6"/>
        <v>155199.35336285341</v>
      </c>
      <c r="E31" s="303">
        <f t="shared" si="6"/>
        <v>158009.85175192298</v>
      </c>
      <c r="F31" s="303">
        <f t="shared" si="6"/>
        <v>160896.03501828772</v>
      </c>
      <c r="H31" s="178"/>
    </row>
    <row r="32" spans="1:10" x14ac:dyDescent="0.35">
      <c r="A32" s="5" t="s">
        <v>155</v>
      </c>
      <c r="B32" s="303">
        <f>B30-B31</f>
        <v>37448.953023522772</v>
      </c>
      <c r="C32" s="303">
        <f t="shared" ref="C32:F32" si="7">C30-C31</f>
        <v>38115.529433811986</v>
      </c>
      <c r="D32" s="303">
        <f t="shared" si="7"/>
        <v>38799.83834071341</v>
      </c>
      <c r="E32" s="303">
        <f t="shared" si="7"/>
        <v>39502.462937980774</v>
      </c>
      <c r="F32" s="303">
        <f t="shared" si="7"/>
        <v>40224.0087545719</v>
      </c>
      <c r="H32" s="178"/>
    </row>
    <row r="33" spans="1:12" x14ac:dyDescent="0.35">
      <c r="A33" s="308" t="s">
        <v>381</v>
      </c>
      <c r="B33" s="309">
        <f>(B15*B21)</f>
        <v>224408.10588337501</v>
      </c>
      <c r="C33" s="309">
        <f t="shared" ref="C33:F33" si="8">(C15*C21)</f>
        <v>228777.02009090164</v>
      </c>
      <c r="D33" s="309">
        <f t="shared" si="8"/>
        <v>233246.11124851624</v>
      </c>
      <c r="E33" s="309">
        <f t="shared" si="8"/>
        <v>237817.8607423075</v>
      </c>
      <c r="F33" s="309">
        <f t="shared" si="8"/>
        <v>242494.815523536</v>
      </c>
      <c r="H33" s="178"/>
    </row>
    <row r="34" spans="1:12" x14ac:dyDescent="0.35">
      <c r="A34" s="134" t="s">
        <v>357</v>
      </c>
      <c r="B34" s="23">
        <v>2021</v>
      </c>
      <c r="C34" s="23">
        <v>2022</v>
      </c>
      <c r="D34" s="23">
        <v>2023</v>
      </c>
      <c r="E34" s="23">
        <v>2024</v>
      </c>
      <c r="F34" s="23">
        <v>2025</v>
      </c>
      <c r="H34" s="178"/>
    </row>
    <row r="35" spans="1:12" x14ac:dyDescent="0.35">
      <c r="A35" s="5" t="s">
        <v>149</v>
      </c>
      <c r="B35" s="303">
        <f>(B16*B22)</f>
        <v>411423.33729690104</v>
      </c>
      <c r="C35" s="303">
        <f t="shared" ref="C35:F35" si="9">(C16*C22)</f>
        <v>417771.10263079958</v>
      </c>
      <c r="D35" s="303">
        <f t="shared" si="9"/>
        <v>424257.39812571241</v>
      </c>
      <c r="E35" s="303">
        <f t="shared" si="9"/>
        <v>430885.82739794324</v>
      </c>
      <c r="F35" s="303">
        <f t="shared" si="9"/>
        <v>437660.10162086127</v>
      </c>
      <c r="H35" s="178"/>
    </row>
    <row r="36" spans="1:12" x14ac:dyDescent="0.35">
      <c r="A36" s="5" t="s">
        <v>150</v>
      </c>
      <c r="B36" s="304">
        <f>B35*B6</f>
        <v>329138.66983752087</v>
      </c>
      <c r="C36" s="304">
        <f t="shared" ref="C36:F36" si="10">C35*C6</f>
        <v>334216.88210463966</v>
      </c>
      <c r="D36" s="304">
        <f t="shared" si="10"/>
        <v>339405.91850056994</v>
      </c>
      <c r="E36" s="304">
        <f t="shared" si="10"/>
        <v>344708.66191835463</v>
      </c>
      <c r="F36" s="304">
        <f t="shared" si="10"/>
        <v>350128.08129668905</v>
      </c>
      <c r="H36" s="178"/>
    </row>
    <row r="37" spans="1:12" x14ac:dyDescent="0.35">
      <c r="A37" s="5" t="s">
        <v>151</v>
      </c>
      <c r="B37" s="303">
        <f>B35-B36</f>
        <v>82284.667459380173</v>
      </c>
      <c r="C37" s="303">
        <f t="shared" ref="C37:F37" si="11">C35-C36</f>
        <v>83554.220526159916</v>
      </c>
      <c r="D37" s="303">
        <f t="shared" si="11"/>
        <v>84851.47962514247</v>
      </c>
      <c r="E37" s="303">
        <f t="shared" si="11"/>
        <v>86177.165479588613</v>
      </c>
      <c r="F37" s="303">
        <f t="shared" si="11"/>
        <v>87532.020324172219</v>
      </c>
      <c r="H37" s="178"/>
    </row>
    <row r="38" spans="1:12" x14ac:dyDescent="0.35">
      <c r="A38" s="5" t="s">
        <v>152</v>
      </c>
      <c r="B38" s="304">
        <f>(B36*$C$11)+(B37*$C$10)</f>
        <v>0</v>
      </c>
      <c r="C38" s="304">
        <f t="shared" ref="C38:F38" si="12">(C36*$C$11)+(C37*$C$10)</f>
        <v>0</v>
      </c>
      <c r="D38" s="304">
        <f t="shared" si="12"/>
        <v>0</v>
      </c>
      <c r="E38" s="304">
        <f t="shared" si="12"/>
        <v>0</v>
      </c>
      <c r="F38" s="304">
        <f t="shared" si="12"/>
        <v>0</v>
      </c>
      <c r="H38" s="178"/>
    </row>
    <row r="39" spans="1:12" x14ac:dyDescent="0.35">
      <c r="A39" s="5" t="s">
        <v>153</v>
      </c>
      <c r="B39" s="303">
        <f>B35-B38</f>
        <v>411423.33729690104</v>
      </c>
      <c r="C39" s="303">
        <f t="shared" ref="C39:F39" si="13">C35-C38</f>
        <v>417771.10263079958</v>
      </c>
      <c r="D39" s="303">
        <f t="shared" si="13"/>
        <v>424257.39812571241</v>
      </c>
      <c r="E39" s="303">
        <f t="shared" si="13"/>
        <v>430885.82739794324</v>
      </c>
      <c r="F39" s="303">
        <f t="shared" si="13"/>
        <v>437660.10162086127</v>
      </c>
      <c r="H39" s="178"/>
    </row>
    <row r="40" spans="1:12" x14ac:dyDescent="0.35">
      <c r="A40" s="5" t="s">
        <v>154</v>
      </c>
      <c r="B40" s="303">
        <f>B36*(1-$C$11)</f>
        <v>329138.66983752087</v>
      </c>
      <c r="C40" s="303">
        <f t="shared" ref="C40:F40" si="14">C36*(1-$C$11)</f>
        <v>334216.88210463966</v>
      </c>
      <c r="D40" s="303">
        <f t="shared" si="14"/>
        <v>339405.91850056994</v>
      </c>
      <c r="E40" s="303">
        <f t="shared" si="14"/>
        <v>344708.66191835463</v>
      </c>
      <c r="F40" s="303">
        <f t="shared" si="14"/>
        <v>350128.08129668905</v>
      </c>
      <c r="H40" s="178"/>
    </row>
    <row r="41" spans="1:12" x14ac:dyDescent="0.35">
      <c r="A41" s="5" t="s">
        <v>155</v>
      </c>
      <c r="B41" s="303">
        <f>B39-B40</f>
        <v>82284.667459380173</v>
      </c>
      <c r="C41" s="303">
        <f t="shared" ref="C41:F41" si="15">C39-C40</f>
        <v>83554.220526159916</v>
      </c>
      <c r="D41" s="303">
        <f t="shared" si="15"/>
        <v>84851.47962514247</v>
      </c>
      <c r="E41" s="303">
        <f t="shared" si="15"/>
        <v>86177.165479588613</v>
      </c>
      <c r="F41" s="303">
        <f t="shared" si="15"/>
        <v>87532.020324172219</v>
      </c>
      <c r="H41" s="178"/>
    </row>
    <row r="42" spans="1:12" x14ac:dyDescent="0.35">
      <c r="A42" s="15"/>
      <c r="B42" s="133"/>
      <c r="H42" s="178"/>
    </row>
    <row r="43" spans="1:12" x14ac:dyDescent="0.35">
      <c r="A43" s="134" t="s">
        <v>156</v>
      </c>
      <c r="B43" s="132">
        <v>2021</v>
      </c>
      <c r="C43" s="132">
        <v>2022</v>
      </c>
      <c r="D43" s="132">
        <v>2023</v>
      </c>
      <c r="E43" s="132">
        <v>2024</v>
      </c>
      <c r="F43" s="132">
        <v>2025</v>
      </c>
    </row>
    <row r="44" spans="1:12" x14ac:dyDescent="0.35">
      <c r="A44" s="5" t="s">
        <v>149</v>
      </c>
      <c r="B44" s="43">
        <f>(B15*B21)+(B16*B22)+(B17*B23)</f>
        <v>1347647.1628849697</v>
      </c>
      <c r="C44" s="43">
        <f t="shared" ref="C44:F44" si="16">(C15*C21)+(C16*C22)+(C17*C23)</f>
        <v>1370659.3384760995</v>
      </c>
      <c r="D44" s="43">
        <f t="shared" si="16"/>
        <v>1394253.3566435464</v>
      </c>
      <c r="E44" s="43">
        <f t="shared" si="16"/>
        <v>1418447.400847462</v>
      </c>
      <c r="F44" s="43">
        <f t="shared" si="16"/>
        <v>1443260.3204851598</v>
      </c>
      <c r="G44" s="34"/>
    </row>
    <row r="45" spans="1:12" x14ac:dyDescent="0.35">
      <c r="A45" s="5" t="s">
        <v>150</v>
      </c>
      <c r="B45" s="9">
        <f>B44*B6</f>
        <v>1078117.7303079758</v>
      </c>
      <c r="C45" s="9">
        <f>C44*C6</f>
        <v>1096527.4707808797</v>
      </c>
      <c r="D45" s="9">
        <f>D44*D6</f>
        <v>1115402.6853148371</v>
      </c>
      <c r="E45" s="9">
        <f>E44*E6</f>
        <v>1134757.9206779697</v>
      </c>
      <c r="F45" s="9">
        <f>F44*F6</f>
        <v>1154608.2563881278</v>
      </c>
    </row>
    <row r="46" spans="1:12" x14ac:dyDescent="0.35">
      <c r="A46" s="5" t="s">
        <v>151</v>
      </c>
      <c r="B46" s="9">
        <f>B44*(1-B6)</f>
        <v>269529.43257699389</v>
      </c>
      <c r="C46" s="9">
        <f>C44*(1-C6)</f>
        <v>274131.86769521987</v>
      </c>
      <c r="D46" s="9">
        <f>D44*(1-D6)</f>
        <v>278850.67132870923</v>
      </c>
      <c r="E46" s="9">
        <f>E44*(1-E6)</f>
        <v>283689.48016949237</v>
      </c>
      <c r="F46" s="9">
        <f>F44*(1-F6)</f>
        <v>288652.06409703189</v>
      </c>
    </row>
    <row r="47" spans="1:12" x14ac:dyDescent="0.35">
      <c r="A47" s="5" t="s">
        <v>152</v>
      </c>
      <c r="B47" s="9">
        <f>B29+B38</f>
        <v>748979.06047045486</v>
      </c>
      <c r="C47" s="9">
        <f t="shared" ref="C47:F47" si="17">C29+C38</f>
        <v>762310.58867624006</v>
      </c>
      <c r="D47" s="9">
        <f t="shared" si="17"/>
        <v>775996.76681426726</v>
      </c>
      <c r="E47" s="9">
        <f t="shared" si="17"/>
        <v>790049.25875961501</v>
      </c>
      <c r="F47" s="9">
        <f t="shared" si="17"/>
        <v>804480.17509143881</v>
      </c>
    </row>
    <row r="48" spans="1:12" x14ac:dyDescent="0.35">
      <c r="A48" s="5" t="s">
        <v>153</v>
      </c>
      <c r="B48" s="9">
        <f>B44-B47</f>
        <v>598668.10241451487</v>
      </c>
      <c r="C48" s="9">
        <f>C44-C47</f>
        <v>608348.74979985948</v>
      </c>
      <c r="D48" s="9">
        <f>D44-D47</f>
        <v>618256.58982927911</v>
      </c>
      <c r="E48" s="9">
        <f>E44-E47</f>
        <v>628398.14208784699</v>
      </c>
      <c r="F48" s="9">
        <f>F44-F47</f>
        <v>638780.14539372094</v>
      </c>
      <c r="H48" s="171"/>
      <c r="I48" s="171"/>
      <c r="J48" s="171"/>
      <c r="K48" s="171"/>
      <c r="L48" s="171"/>
    </row>
    <row r="49" spans="1:9" x14ac:dyDescent="0.35">
      <c r="A49" s="5" t="s">
        <v>154</v>
      </c>
      <c r="B49" s="12">
        <f>B31+B40</f>
        <v>478934.48193161178</v>
      </c>
      <c r="C49" s="12">
        <f t="shared" ref="C49:F49" si="18">C31+C40</f>
        <v>486678.99983988761</v>
      </c>
      <c r="D49" s="12">
        <f t="shared" si="18"/>
        <v>494605.27186342335</v>
      </c>
      <c r="E49" s="12">
        <f t="shared" si="18"/>
        <v>502718.51367027761</v>
      </c>
      <c r="F49" s="12">
        <f t="shared" si="18"/>
        <v>511024.11631497677</v>
      </c>
    </row>
    <row r="50" spans="1:9" x14ac:dyDescent="0.35">
      <c r="A50" s="5" t="s">
        <v>155</v>
      </c>
      <c r="B50" s="12">
        <f>B48-B49</f>
        <v>119733.62048290309</v>
      </c>
      <c r="C50" s="12">
        <f t="shared" ref="C50:F50" si="19">C48-C49</f>
        <v>121669.74995997187</v>
      </c>
      <c r="D50" s="12">
        <f t="shared" si="19"/>
        <v>123651.31796585576</v>
      </c>
      <c r="E50" s="12">
        <f t="shared" si="19"/>
        <v>125679.62841756939</v>
      </c>
      <c r="F50" s="12">
        <f t="shared" si="19"/>
        <v>127756.02907874418</v>
      </c>
    </row>
    <row r="51" spans="1:9" x14ac:dyDescent="0.35">
      <c r="A51" s="250" t="s">
        <v>260</v>
      </c>
      <c r="B51" s="251">
        <f>B44/B18</f>
        <v>6.9573059685664379E-2</v>
      </c>
      <c r="C51" s="251">
        <f>C44/C18</f>
        <v>6.9595755174003918E-2</v>
      </c>
      <c r="D51" s="251">
        <f>D44/D18</f>
        <v>6.9618744606460017E-2</v>
      </c>
      <c r="E51" s="251">
        <f>E44/E18</f>
        <v>6.9642030682510389E-2</v>
      </c>
      <c r="F51" s="251">
        <f>F44/F18</f>
        <v>6.9665616094779476E-2</v>
      </c>
    </row>
    <row r="52" spans="1:9" x14ac:dyDescent="0.35">
      <c r="A52" s="15"/>
      <c r="B52" s="101"/>
      <c r="C52" s="101"/>
      <c r="D52" s="101"/>
      <c r="E52" s="101"/>
      <c r="F52" s="101"/>
    </row>
    <row r="53" spans="1:9" x14ac:dyDescent="0.35">
      <c r="A53" s="7" t="s">
        <v>192</v>
      </c>
      <c r="B53" s="7">
        <v>905867</v>
      </c>
      <c r="C53" s="101"/>
      <c r="D53" s="101"/>
      <c r="E53" s="101"/>
      <c r="F53" s="101"/>
    </row>
    <row r="54" spans="1:9" x14ac:dyDescent="0.35">
      <c r="A54" s="134" t="s">
        <v>188</v>
      </c>
      <c r="B54" s="132">
        <v>2021</v>
      </c>
      <c r="C54" s="132">
        <v>2022</v>
      </c>
      <c r="D54" s="132">
        <v>2023</v>
      </c>
      <c r="E54" s="132">
        <v>2024</v>
      </c>
      <c r="F54" s="132">
        <v>2025</v>
      </c>
      <c r="I54" s="178"/>
    </row>
    <row r="55" spans="1:9" x14ac:dyDescent="0.35">
      <c r="A55" s="5" t="s">
        <v>189</v>
      </c>
      <c r="B55" s="176">
        <v>0.08</v>
      </c>
      <c r="C55" s="176">
        <v>0.08</v>
      </c>
      <c r="D55" s="176">
        <v>0.08</v>
      </c>
      <c r="E55" s="176">
        <v>0.09</v>
      </c>
      <c r="F55" s="176">
        <v>0.1</v>
      </c>
    </row>
    <row r="56" spans="1:9" x14ac:dyDescent="0.35">
      <c r="A56" s="5" t="s">
        <v>149</v>
      </c>
      <c r="B56" s="12">
        <f>$B$53*B55</f>
        <v>72469.36</v>
      </c>
      <c r="C56" s="12">
        <f>$B$53*C55</f>
        <v>72469.36</v>
      </c>
      <c r="D56" s="12">
        <f>$B$53*D55</f>
        <v>72469.36</v>
      </c>
      <c r="E56" s="12">
        <f>$B$53*E55</f>
        <v>81528.03</v>
      </c>
      <c r="F56" s="12">
        <f>$B$53*F55</f>
        <v>90586.700000000012</v>
      </c>
    </row>
    <row r="57" spans="1:9" x14ac:dyDescent="0.35">
      <c r="A57" s="5" t="s">
        <v>193</v>
      </c>
      <c r="B57" s="177">
        <f>B56*B7</f>
        <v>57975.488000000005</v>
      </c>
      <c r="C57" s="177">
        <f>C56*C7</f>
        <v>57975.488000000005</v>
      </c>
      <c r="D57" s="177">
        <f>D56*D7</f>
        <v>57975.488000000005</v>
      </c>
      <c r="E57" s="177">
        <f>E56*E7</f>
        <v>65222.423999999999</v>
      </c>
      <c r="F57" s="177">
        <f>F56*F7</f>
        <v>72469.360000000015</v>
      </c>
    </row>
    <row r="58" spans="1:9" x14ac:dyDescent="0.35">
      <c r="A58" s="5" t="s">
        <v>194</v>
      </c>
      <c r="B58" s="177">
        <f>B56*(1-B7)</f>
        <v>14493.871999999998</v>
      </c>
      <c r="C58" s="177">
        <f>C56*(1-C7)</f>
        <v>14493.871999999998</v>
      </c>
      <c r="D58" s="177">
        <f>D56*(1-D7)</f>
        <v>14493.871999999998</v>
      </c>
      <c r="E58" s="177">
        <f>E56*(1-E7)</f>
        <v>16305.605999999996</v>
      </c>
      <c r="F58" s="177">
        <f>F56*(1-F7)</f>
        <v>18117.339999999997</v>
      </c>
      <c r="H58" s="178"/>
    </row>
    <row r="59" spans="1:9" x14ac:dyDescent="0.35">
      <c r="A59" s="15"/>
    </row>
    <row r="60" spans="1:9" hidden="1" x14ac:dyDescent="0.35">
      <c r="A60" s="15"/>
      <c r="B60" s="172" t="s">
        <v>133</v>
      </c>
      <c r="C60" s="42"/>
      <c r="D60" s="42"/>
      <c r="E60" s="42"/>
      <c r="F60" s="42"/>
    </row>
    <row r="61" spans="1:9" hidden="1" x14ac:dyDescent="0.35">
      <c r="A61" s="15"/>
      <c r="B61" s="179">
        <f>(B15*B21)+(B17*B23)+B56</f>
        <v>1008693.1855880686</v>
      </c>
      <c r="C61" s="179">
        <f>(C15*C21)+(C17*C23)+C56</f>
        <v>1025357.5958453</v>
      </c>
      <c r="D61" s="179">
        <f>(D15*D21)+(D17*D23)+D56</f>
        <v>1042465.3185178341</v>
      </c>
      <c r="E61" s="179">
        <f>(E15*E21)+(E17*E23)+E56</f>
        <v>1069089.6034495188</v>
      </c>
      <c r="F61" s="179">
        <f>(F15*F21)+(F17*F23)+F56</f>
        <v>1096186.9188642984</v>
      </c>
    </row>
    <row r="62" spans="1:9" x14ac:dyDescent="0.35">
      <c r="A62" s="15"/>
    </row>
    <row r="63" spans="1:9" x14ac:dyDescent="0.35">
      <c r="A63" s="15"/>
    </row>
    <row r="64" spans="1:9" x14ac:dyDescent="0.35">
      <c r="A64" s="21" t="s">
        <v>221</v>
      </c>
      <c r="B64" s="23">
        <v>2021</v>
      </c>
      <c r="C64" s="23">
        <v>2022</v>
      </c>
      <c r="D64" s="23">
        <v>2023</v>
      </c>
      <c r="E64" s="23">
        <v>2024</v>
      </c>
      <c r="F64" s="23">
        <v>2025</v>
      </c>
    </row>
    <row r="65" spans="1:12" x14ac:dyDescent="0.35">
      <c r="A65" s="3" t="s">
        <v>6</v>
      </c>
      <c r="B65" s="177">
        <f>B49*(1+$B$12)</f>
        <v>598668.10241451475</v>
      </c>
      <c r="C65" s="177">
        <f>C49*(1+$B$12)</f>
        <v>608348.74979985948</v>
      </c>
      <c r="D65" s="177">
        <f>D49*(1+$B$12)</f>
        <v>618256.58982927923</v>
      </c>
      <c r="E65" s="177">
        <f>E49*(1+$B$12)</f>
        <v>628398.14208784699</v>
      </c>
      <c r="F65" s="177">
        <f>F49*(1+$B$12)</f>
        <v>638780.14539372094</v>
      </c>
    </row>
    <row r="66" spans="1:12" x14ac:dyDescent="0.35">
      <c r="A66" s="3" t="s">
        <v>7</v>
      </c>
      <c r="B66" s="12">
        <f>(B45-B49)*(1+$B$12)</f>
        <v>748979.06047045498</v>
      </c>
      <c r="C66" s="12">
        <f>(C45-C49)*(1+$B$12)</f>
        <v>762310.58867624018</v>
      </c>
      <c r="D66" s="12">
        <f>(D45-D49)*(1+$B$12)</f>
        <v>775996.76681426726</v>
      </c>
      <c r="E66" s="12">
        <f>(E45-E49)*(1+$B$12)</f>
        <v>790049.25875961524</v>
      </c>
      <c r="F66" s="12">
        <f>(F45-F49)*(1+$B$12)</f>
        <v>804480.17509143893</v>
      </c>
      <c r="I66" s="17"/>
    </row>
    <row r="67" spans="1:12" x14ac:dyDescent="0.35">
      <c r="A67" s="3" t="s">
        <v>195</v>
      </c>
      <c r="B67" s="12">
        <f>B57*(1+$B$12)</f>
        <v>72469.36</v>
      </c>
      <c r="C67" s="12">
        <f>C57*(1+$B$12)</f>
        <v>72469.36</v>
      </c>
      <c r="D67" s="12">
        <f>D57*(1+$B$12)</f>
        <v>72469.36</v>
      </c>
      <c r="E67" s="12">
        <f>E57*(1+$B$12)</f>
        <v>81528.03</v>
      </c>
      <c r="F67" s="12">
        <f>F57*(1+$B$12)</f>
        <v>90586.700000000012</v>
      </c>
      <c r="I67" s="178"/>
    </row>
    <row r="68" spans="1:12" x14ac:dyDescent="0.35">
      <c r="A68" s="3" t="s">
        <v>2</v>
      </c>
      <c r="B68" s="177">
        <f>((B17*B23*B$6)+(B16*B22*B$6)+(B15*B21*B$6))*(1+$B12)+B67</f>
        <v>1420116.5228849698</v>
      </c>
      <c r="C68" s="177">
        <f t="shared" ref="C68:F68" si="20">((C17*C23*C$6)+(C16*C22*C$6)+(C15*C21*C$6))*(1+$B12)+C67</f>
        <v>1443128.6984760996</v>
      </c>
      <c r="D68" s="177">
        <f t="shared" si="20"/>
        <v>1466722.7166435465</v>
      </c>
      <c r="E68" s="177">
        <f t="shared" si="20"/>
        <v>1499975.430847462</v>
      </c>
      <c r="F68" s="177">
        <f t="shared" si="20"/>
        <v>1533847.0204851597</v>
      </c>
      <c r="H68" s="17"/>
      <c r="L68" s="178"/>
    </row>
    <row r="69" spans="1:12" s="14" customFormat="1" x14ac:dyDescent="0.35">
      <c r="A69" s="252"/>
      <c r="B69" s="292"/>
      <c r="C69" s="292"/>
      <c r="D69" s="292"/>
      <c r="E69" s="292"/>
      <c r="F69" s="292"/>
    </row>
    <row r="70" spans="1:12" s="14" customFormat="1" x14ac:dyDescent="0.35">
      <c r="A70" s="15"/>
    </row>
    <row r="71" spans="1:12" s="14" customFormat="1" x14ac:dyDescent="0.35">
      <c r="A71" s="15"/>
    </row>
    <row r="72" spans="1:12" s="14" customFormat="1" x14ac:dyDescent="0.35">
      <c r="A72" s="21" t="s">
        <v>222</v>
      </c>
      <c r="B72" s="23">
        <v>2021</v>
      </c>
      <c r="C72" s="23">
        <v>2022</v>
      </c>
      <c r="D72" s="23">
        <v>2023</v>
      </c>
      <c r="E72" s="23">
        <v>2024</v>
      </c>
      <c r="F72" s="23">
        <v>2025</v>
      </c>
    </row>
    <row r="73" spans="1:12" s="14" customFormat="1" x14ac:dyDescent="0.35">
      <c r="A73" s="3" t="s">
        <v>6</v>
      </c>
      <c r="B73" s="12">
        <f>B50*(1+$B$12)*2</f>
        <v>299334.05120725773</v>
      </c>
      <c r="C73" s="12">
        <f>C50*(1+$B$12)*2</f>
        <v>304174.37489992968</v>
      </c>
      <c r="D73" s="12">
        <f>D50*(1+$B$12)*2</f>
        <v>309128.29491463944</v>
      </c>
      <c r="E73" s="12">
        <f>E50*(1+$B$12)*2</f>
        <v>314199.0710439235</v>
      </c>
      <c r="F73" s="12">
        <f>F50*(1+$B$12)*2</f>
        <v>319390.07269686041</v>
      </c>
    </row>
    <row r="74" spans="1:12" s="14" customFormat="1" x14ac:dyDescent="0.35">
      <c r="A74" s="3" t="s">
        <v>7</v>
      </c>
      <c r="B74" s="12">
        <f>(B46-B50)*(1+$B$12)*2</f>
        <v>374489.53023522696</v>
      </c>
      <c r="C74" s="12">
        <f>(C46-C50)*(1+$B$12)*2</f>
        <v>381155.29433812003</v>
      </c>
      <c r="D74" s="12">
        <f>(D46-D50)*(1+$B$12)*2</f>
        <v>387998.38340713363</v>
      </c>
      <c r="E74" s="12">
        <f>(E46-E50)*(1+$B$12)*2</f>
        <v>395024.62937980745</v>
      </c>
      <c r="F74" s="12">
        <f>(F46-F50)*(1+$B$12)*2</f>
        <v>402240.08754571929</v>
      </c>
    </row>
    <row r="75" spans="1:12" s="14" customFormat="1" x14ac:dyDescent="0.35">
      <c r="A75" s="3" t="s">
        <v>195</v>
      </c>
      <c r="B75" s="12">
        <f>B58*(1+$B$12)*2</f>
        <v>36234.679999999993</v>
      </c>
      <c r="C75" s="12">
        <f>C58*(1+$B$12)*2</f>
        <v>36234.679999999993</v>
      </c>
      <c r="D75" s="12">
        <f>D58*(1+$B$12)*2</f>
        <v>36234.679999999993</v>
      </c>
      <c r="E75" s="12">
        <f>E58*(1+$B$12)*2</f>
        <v>40764.014999999992</v>
      </c>
      <c r="F75" s="12">
        <f>F58*(1+$B$12)*2</f>
        <v>45293.349999999991</v>
      </c>
    </row>
    <row r="76" spans="1:12" x14ac:dyDescent="0.35">
      <c r="A76" s="3" t="s">
        <v>2</v>
      </c>
      <c r="B76" s="177">
        <f>(((B15*(1-B$6)*B21)+(B16*(1-B$6)*B22)+(B17*(1-B$6)*B23))*(1+$B12))*2+B75</f>
        <v>710058.26144248457</v>
      </c>
      <c r="C76" s="177">
        <f t="shared" ref="C76:F76" si="21">(((C15*(1-C$6)*C21)+(C16*(1-C$6)*C22)+(C17*(1-C$6)*C23))*(1+$B12))*2+C75</f>
        <v>721564.3492380497</v>
      </c>
      <c r="D76" s="177">
        <f t="shared" si="21"/>
        <v>733361.35832177312</v>
      </c>
      <c r="E76" s="177">
        <f t="shared" si="21"/>
        <v>749987.71542373078</v>
      </c>
      <c r="F76" s="177">
        <f t="shared" si="21"/>
        <v>766923.51024257962</v>
      </c>
    </row>
    <row r="77" spans="1:12" x14ac:dyDescent="0.35">
      <c r="B77" s="17"/>
      <c r="C77" s="17"/>
      <c r="D77" s="17"/>
      <c r="E77" s="17"/>
      <c r="F77" s="17"/>
    </row>
    <row r="78" spans="1:12" x14ac:dyDescent="0.35">
      <c r="A78" s="110" t="s">
        <v>5</v>
      </c>
      <c r="B78" s="171"/>
    </row>
    <row r="80" spans="1:12" x14ac:dyDescent="0.35">
      <c r="A80" s="111" t="s">
        <v>120</v>
      </c>
      <c r="B80">
        <v>422</v>
      </c>
    </row>
    <row r="82" spans="1:7" x14ac:dyDescent="0.35">
      <c r="A82" s="110" t="s">
        <v>196</v>
      </c>
    </row>
    <row r="83" spans="1:7" x14ac:dyDescent="0.35">
      <c r="A83" s="5" t="s">
        <v>223</v>
      </c>
      <c r="B83" s="3">
        <v>500</v>
      </c>
      <c r="C83" s="3">
        <v>500</v>
      </c>
      <c r="D83" s="3">
        <v>500</v>
      </c>
      <c r="E83" s="3">
        <v>500</v>
      </c>
      <c r="F83" s="3">
        <v>500</v>
      </c>
    </row>
    <row r="84" spans="1:7" x14ac:dyDescent="0.35">
      <c r="A84" s="5" t="s">
        <v>224</v>
      </c>
      <c r="B84" s="9">
        <f>$B80*B83</f>
        <v>211000</v>
      </c>
      <c r="C84" s="9">
        <f>$B80*C83</f>
        <v>211000</v>
      </c>
      <c r="D84" s="9">
        <f>$B80*D83</f>
        <v>211000</v>
      </c>
      <c r="E84" s="9">
        <f>$B80*E83</f>
        <v>211000</v>
      </c>
      <c r="F84" s="9">
        <f>$B80*F83</f>
        <v>211000</v>
      </c>
    </row>
    <row r="85" spans="1:7" x14ac:dyDescent="0.35">
      <c r="B85" s="178"/>
    </row>
    <row r="87" spans="1:7" x14ac:dyDescent="0.35">
      <c r="A87" s="110" t="s">
        <v>121</v>
      </c>
    </row>
    <row r="88" spans="1:7" x14ac:dyDescent="0.35">
      <c r="A88" s="5" t="s">
        <v>262</v>
      </c>
      <c r="B88" s="3">
        <f>B83*4</f>
        <v>2000</v>
      </c>
      <c r="C88" s="3">
        <f t="shared" ref="C88:F88" si="22">C83*4</f>
        <v>2000</v>
      </c>
      <c r="D88" s="3">
        <f t="shared" si="22"/>
        <v>2000</v>
      </c>
      <c r="E88" s="3">
        <f t="shared" si="22"/>
        <v>2000</v>
      </c>
      <c r="F88" s="3">
        <f t="shared" si="22"/>
        <v>2000</v>
      </c>
    </row>
    <row r="89" spans="1:7" x14ac:dyDescent="0.35">
      <c r="A89" s="5" t="s">
        <v>279</v>
      </c>
      <c r="B89" s="3">
        <f>$B80*B88</f>
        <v>844000</v>
      </c>
      <c r="C89" s="3">
        <f>$B80*C88</f>
        <v>844000</v>
      </c>
      <c r="D89" s="3">
        <f>$B80*D88</f>
        <v>844000</v>
      </c>
      <c r="E89" s="3">
        <f>$B80*E88</f>
        <v>844000</v>
      </c>
      <c r="F89" s="3">
        <f>$B80*F88</f>
        <v>844000</v>
      </c>
    </row>
    <row r="90" spans="1:7" x14ac:dyDescent="0.35">
      <c r="A90" s="5" t="s">
        <v>119</v>
      </c>
      <c r="B90" s="9">
        <f>$B80*B88*2</f>
        <v>1688000</v>
      </c>
      <c r="C90" s="9">
        <f>$B80*C88*2</f>
        <v>1688000</v>
      </c>
      <c r="D90" s="9">
        <f>$B80*D88*2</f>
        <v>1688000</v>
      </c>
      <c r="E90" s="9">
        <f>$B80*E88*2</f>
        <v>1688000</v>
      </c>
      <c r="F90" s="9">
        <f>$B80*F88*2</f>
        <v>1688000</v>
      </c>
      <c r="G90" s="14" t="s">
        <v>261</v>
      </c>
    </row>
    <row r="92" spans="1:7" hidden="1" x14ac:dyDescent="0.35">
      <c r="A92" t="s">
        <v>415</v>
      </c>
      <c r="B92" s="171">
        <f>B44+B56+B84+B89</f>
        <v>2475116.5228849696</v>
      </c>
      <c r="C92" s="171">
        <f t="shared" ref="C92:F92" si="23">C44+C56+C84+C89</f>
        <v>2498128.6984760994</v>
      </c>
      <c r="D92" s="171">
        <f t="shared" si="23"/>
        <v>2521722.7166435467</v>
      </c>
      <c r="E92" s="171">
        <f t="shared" si="23"/>
        <v>2554975.4308474623</v>
      </c>
      <c r="F92" s="171">
        <f t="shared" si="23"/>
        <v>2588847.0204851599</v>
      </c>
    </row>
    <row r="93" spans="1:7" hidden="1" x14ac:dyDescent="0.35">
      <c r="A93" s="115" t="s">
        <v>122</v>
      </c>
      <c r="B93" s="42">
        <v>0</v>
      </c>
      <c r="C93" t="s">
        <v>265</v>
      </c>
      <c r="G93" t="s">
        <v>269</v>
      </c>
    </row>
    <row r="94" spans="1:7" hidden="1" x14ac:dyDescent="0.35">
      <c r="A94" s="34"/>
      <c r="B94" s="23">
        <v>2021</v>
      </c>
      <c r="C94" s="23">
        <v>2022</v>
      </c>
      <c r="D94" s="23">
        <v>2023</v>
      </c>
      <c r="E94" s="23">
        <v>2024</v>
      </c>
      <c r="F94" s="23">
        <v>2025</v>
      </c>
    </row>
    <row r="95" spans="1:7" hidden="1" x14ac:dyDescent="0.35">
      <c r="A95" s="5" t="s">
        <v>123</v>
      </c>
      <c r="B95" s="9" t="e">
        <f>(SUM(antimalarials!D190:D193)*(1/antimalarials!$B$4))*(1/$B$93)</f>
        <v>#DIV/0!</v>
      </c>
      <c r="C95" s="9" t="e">
        <f>(SUM(antimalarials!E190:E193)*(1/antimalarials!$B$4))*(1/$B$93)</f>
        <v>#DIV/0!</v>
      </c>
      <c r="D95" s="9" t="e">
        <f>(SUM(antimalarials!F190:F193)*(1/antimalarials!$B$4))*(1/$B$93)</f>
        <v>#DIV/0!</v>
      </c>
      <c r="E95" s="9" t="e">
        <f>(SUM(antimalarials!G190:G193)*(1/antimalarials!$B$4))*(1/$B$93)</f>
        <v>#DIV/0!</v>
      </c>
      <c r="F95" s="9" t="e">
        <f>(SUM(antimalarials!H190:H193)*(1/antimalarials!$B$4))*(1/$B$93)</f>
        <v>#DIV/0!</v>
      </c>
    </row>
    <row r="96" spans="1:7" hidden="1" x14ac:dyDescent="0.35">
      <c r="B96">
        <v>0.2</v>
      </c>
      <c r="C96" t="s">
        <v>266</v>
      </c>
      <c r="G96" t="s">
        <v>269</v>
      </c>
    </row>
    <row r="98" spans="1:7" x14ac:dyDescent="0.35">
      <c r="B98" s="23">
        <v>2021</v>
      </c>
      <c r="C98" s="23">
        <v>2022</v>
      </c>
      <c r="D98" s="23">
        <v>2023</v>
      </c>
      <c r="E98" s="23">
        <v>2024</v>
      </c>
      <c r="F98" s="23">
        <v>2025</v>
      </c>
    </row>
    <row r="99" spans="1:7" x14ac:dyDescent="0.35">
      <c r="A99" s="254" t="s">
        <v>270</v>
      </c>
      <c r="B99" s="255">
        <f>B50+B89</f>
        <v>963733.62048290309</v>
      </c>
      <c r="C99" s="255">
        <f t="shared" ref="C99:F99" si="24">C50+C89</f>
        <v>965669.74995997187</v>
      </c>
      <c r="D99" s="255">
        <f t="shared" si="24"/>
        <v>967651.31796585582</v>
      </c>
      <c r="E99" s="255">
        <f t="shared" si="24"/>
        <v>969679.62841756945</v>
      </c>
      <c r="F99" s="255">
        <f t="shared" si="24"/>
        <v>971756.02907874412</v>
      </c>
    </row>
    <row r="100" spans="1:7" x14ac:dyDescent="0.35">
      <c r="A100" s="254" t="s">
        <v>271</v>
      </c>
      <c r="B100" s="256">
        <f>B49+B84</f>
        <v>689934.48193161178</v>
      </c>
      <c r="C100" s="256">
        <f t="shared" ref="C100:F100" si="25">C49+C84</f>
        <v>697678.99983988761</v>
      </c>
      <c r="D100" s="256">
        <f t="shared" si="25"/>
        <v>705605.27186342329</v>
      </c>
      <c r="E100" s="256">
        <f t="shared" si="25"/>
        <v>713718.51367027755</v>
      </c>
      <c r="F100" s="256">
        <f t="shared" si="25"/>
        <v>722024.11631497671</v>
      </c>
    </row>
    <row r="101" spans="1:7" s="22" customFormat="1" x14ac:dyDescent="0.35">
      <c r="A101" s="257" t="s">
        <v>2</v>
      </c>
      <c r="B101" s="258">
        <f>B99+B100</f>
        <v>1653668.1024145149</v>
      </c>
      <c r="C101" s="258">
        <f>C99+C100</f>
        <v>1663348.7497998595</v>
      </c>
      <c r="D101" s="258">
        <f>D99+D100</f>
        <v>1673256.5898292791</v>
      </c>
      <c r="E101" s="258">
        <f>E99+E100</f>
        <v>1683398.142087847</v>
      </c>
      <c r="F101" s="258">
        <f>F99+F100</f>
        <v>1693780.1453937208</v>
      </c>
    </row>
    <row r="102" spans="1:7" x14ac:dyDescent="0.35">
      <c r="A102" s="254" t="s">
        <v>272</v>
      </c>
      <c r="B102" s="255">
        <f>B46*$B$10+B58</f>
        <v>230117.41806159512</v>
      </c>
      <c r="C102" s="255">
        <f>C46*$B$10+C58</f>
        <v>233799.36615617591</v>
      </c>
      <c r="D102" s="255">
        <f>D46*$B$10+D58</f>
        <v>237574.4090629674</v>
      </c>
      <c r="E102" s="255">
        <f>E46*$B$10+E58</f>
        <v>243257.1901355939</v>
      </c>
      <c r="F102" s="255">
        <f>F46*$B$10+F58</f>
        <v>249038.99127762552</v>
      </c>
    </row>
    <row r="103" spans="1:7" x14ac:dyDescent="0.35">
      <c r="A103" s="254" t="s">
        <v>273</v>
      </c>
      <c r="B103" s="255">
        <f>B45*$B$11+B57</f>
        <v>920469.67224638071</v>
      </c>
      <c r="C103" s="255">
        <f>C45*$B$11+C57</f>
        <v>935197.46462470386</v>
      </c>
      <c r="D103" s="255">
        <f>D45*$B$11+D57</f>
        <v>950297.63625186973</v>
      </c>
      <c r="E103" s="255">
        <f>E45*$B$11+E57</f>
        <v>973028.76054237585</v>
      </c>
      <c r="F103" s="255">
        <f>F45*$B$11+F57</f>
        <v>996155.96511050232</v>
      </c>
    </row>
    <row r="104" spans="1:7" s="22" customFormat="1" x14ac:dyDescent="0.35">
      <c r="A104" s="257" t="s">
        <v>2</v>
      </c>
      <c r="B104" s="259">
        <f>B102+B103</f>
        <v>1150587.0903079759</v>
      </c>
      <c r="C104" s="259">
        <f>C102+C103</f>
        <v>1168996.8307808798</v>
      </c>
      <c r="D104" s="259">
        <f>D102+D103</f>
        <v>1187872.0453148372</v>
      </c>
      <c r="E104" s="259">
        <f>E102+E103</f>
        <v>1216285.9506779697</v>
      </c>
      <c r="F104" s="259">
        <f>F102+F103</f>
        <v>1245194.9563881278</v>
      </c>
    </row>
    <row r="105" spans="1:7" x14ac:dyDescent="0.35">
      <c r="A105" s="254" t="s">
        <v>274</v>
      </c>
      <c r="B105" s="255">
        <v>0</v>
      </c>
      <c r="C105" s="255">
        <v>0</v>
      </c>
      <c r="D105" s="255">
        <v>0</v>
      </c>
      <c r="E105" s="255">
        <v>0</v>
      </c>
      <c r="F105" s="255">
        <v>0</v>
      </c>
      <c r="G105" s="178"/>
    </row>
    <row r="106" spans="1:7" x14ac:dyDescent="0.35">
      <c r="A106" s="254" t="s">
        <v>275</v>
      </c>
      <c r="B106" s="255">
        <v>0</v>
      </c>
      <c r="C106" s="255">
        <v>0</v>
      </c>
      <c r="D106" s="255">
        <v>0</v>
      </c>
      <c r="E106" s="255">
        <v>0</v>
      </c>
      <c r="F106" s="255">
        <v>0</v>
      </c>
    </row>
    <row r="107" spans="1:7" s="22" customFormat="1" x14ac:dyDescent="0.35">
      <c r="A107" s="257" t="s">
        <v>2</v>
      </c>
      <c r="B107" s="259">
        <f>B105+B106</f>
        <v>0</v>
      </c>
      <c r="C107" s="259">
        <f>C105+C106</f>
        <v>0</v>
      </c>
      <c r="D107" s="259">
        <f>D105+D106</f>
        <v>0</v>
      </c>
      <c r="E107" s="259">
        <f>E105+E106</f>
        <v>0</v>
      </c>
      <c r="F107" s="259">
        <f>F105+F106</f>
        <v>0</v>
      </c>
    </row>
    <row r="108" spans="1:7" x14ac:dyDescent="0.35">
      <c r="A108" s="254" t="s">
        <v>276</v>
      </c>
      <c r="B108" s="255">
        <f>B99+B102+B105</f>
        <v>1193851.0385444982</v>
      </c>
      <c r="C108" s="255">
        <f>C99+C102+C105</f>
        <v>1199469.1161161477</v>
      </c>
      <c r="D108" s="255">
        <f>D99+D102+D105</f>
        <v>1205225.7270288232</v>
      </c>
      <c r="E108" s="255">
        <f>E99+E102+E105</f>
        <v>1212936.8185531634</v>
      </c>
      <c r="F108" s="255">
        <f>F99+F102+F105</f>
        <v>1220795.0203563697</v>
      </c>
    </row>
    <row r="109" spans="1:7" x14ac:dyDescent="0.35">
      <c r="A109" s="254" t="s">
        <v>277</v>
      </c>
      <c r="B109" s="255">
        <f>B100+B103+B106</f>
        <v>1610404.1541779926</v>
      </c>
      <c r="C109" s="255">
        <f t="shared" ref="B109:F110" si="26">C100+C103+C106</f>
        <v>1632876.4644645914</v>
      </c>
      <c r="D109" s="255">
        <f t="shared" si="26"/>
        <v>1655902.9081152929</v>
      </c>
      <c r="E109" s="255">
        <f t="shared" si="26"/>
        <v>1686747.2742126533</v>
      </c>
      <c r="F109" s="255">
        <f t="shared" si="26"/>
        <v>1718180.0814254791</v>
      </c>
    </row>
    <row r="110" spans="1:7" s="110" customFormat="1" x14ac:dyDescent="0.35">
      <c r="A110" s="257" t="s">
        <v>278</v>
      </c>
      <c r="B110" s="259">
        <f t="shared" si="26"/>
        <v>2804255.192722491</v>
      </c>
      <c r="C110" s="259">
        <f t="shared" si="26"/>
        <v>2832345.5805807393</v>
      </c>
      <c r="D110" s="259">
        <f t="shared" si="26"/>
        <v>2861128.6351441164</v>
      </c>
      <c r="E110" s="259">
        <f t="shared" si="26"/>
        <v>2899684.0927658165</v>
      </c>
      <c r="F110" s="259">
        <f t="shared" si="26"/>
        <v>2938975.1017818488</v>
      </c>
    </row>
    <row r="111" spans="1:7" x14ac:dyDescent="0.35">
      <c r="A111" s="254" t="s">
        <v>280</v>
      </c>
      <c r="B111" s="255"/>
      <c r="C111" s="255"/>
      <c r="D111" s="255"/>
      <c r="E111" s="255"/>
      <c r="F111" s="255"/>
    </row>
    <row r="112" spans="1:7" x14ac:dyDescent="0.35">
      <c r="A112" s="254" t="s">
        <v>281</v>
      </c>
      <c r="B112" s="255">
        <f>B49</f>
        <v>478934.48193161178</v>
      </c>
      <c r="C112" s="255">
        <f t="shared" ref="C112:F112" si="27">C49</f>
        <v>486678.99983988761</v>
      </c>
      <c r="D112" s="255">
        <f t="shared" si="27"/>
        <v>494605.27186342335</v>
      </c>
      <c r="E112" s="255">
        <f t="shared" si="27"/>
        <v>502718.51367027761</v>
      </c>
      <c r="F112" s="255">
        <f t="shared" si="27"/>
        <v>511024.11631497677</v>
      </c>
    </row>
    <row r="113" spans="1:8" x14ac:dyDescent="0.35">
      <c r="A113" s="257" t="s">
        <v>282</v>
      </c>
      <c r="B113" s="259">
        <f>B111+B112</f>
        <v>478934.48193161178</v>
      </c>
      <c r="C113" s="259">
        <f>C111+C112</f>
        <v>486678.99983988761</v>
      </c>
      <c r="D113" s="259">
        <f>D111+D112</f>
        <v>494605.27186342335</v>
      </c>
      <c r="E113" s="259">
        <f>E111+E112</f>
        <v>502718.51367027761</v>
      </c>
      <c r="F113" s="259">
        <f>F111+F112</f>
        <v>511024.11631497677</v>
      </c>
    </row>
    <row r="114" spans="1:8" x14ac:dyDescent="0.35">
      <c r="A114" s="254" t="s">
        <v>358</v>
      </c>
      <c r="B114" s="17">
        <f>B50</f>
        <v>119733.62048290309</v>
      </c>
      <c r="C114" s="17">
        <f t="shared" ref="C114:F114" si="28">C50</f>
        <v>121669.74995997187</v>
      </c>
      <c r="D114" s="17">
        <f t="shared" si="28"/>
        <v>123651.31796585576</v>
      </c>
      <c r="E114" s="17">
        <f t="shared" si="28"/>
        <v>125679.62841756939</v>
      </c>
      <c r="F114" s="17">
        <f t="shared" si="28"/>
        <v>127756.02907874418</v>
      </c>
    </row>
    <row r="115" spans="1:8" x14ac:dyDescent="0.35">
      <c r="A115" s="254" t="s">
        <v>359</v>
      </c>
      <c r="B115" s="17">
        <f>B84</f>
        <v>211000</v>
      </c>
      <c r="C115" s="17">
        <f t="shared" ref="C115:F115" si="29">C84</f>
        <v>211000</v>
      </c>
      <c r="D115" s="17">
        <f t="shared" si="29"/>
        <v>211000</v>
      </c>
      <c r="E115" s="17">
        <f t="shared" si="29"/>
        <v>211000</v>
      </c>
      <c r="F115" s="17">
        <f t="shared" si="29"/>
        <v>211000</v>
      </c>
      <c r="H115" s="178"/>
    </row>
    <row r="116" spans="1:8" s="22" customFormat="1" x14ac:dyDescent="0.35">
      <c r="A116" s="257" t="s">
        <v>360</v>
      </c>
      <c r="B116" s="296">
        <f>B114+B115</f>
        <v>330733.62048290309</v>
      </c>
      <c r="C116" s="296">
        <f t="shared" ref="C116:F116" si="30">C114+C115</f>
        <v>332669.74995997187</v>
      </c>
      <c r="D116" s="296">
        <f t="shared" si="30"/>
        <v>334651.31796585576</v>
      </c>
      <c r="E116" s="296">
        <f t="shared" si="30"/>
        <v>336679.62841756939</v>
      </c>
      <c r="F116" s="296">
        <f t="shared" si="30"/>
        <v>338756.02907874418</v>
      </c>
    </row>
    <row r="117" spans="1:8" x14ac:dyDescent="0.35">
      <c r="A117" s="254" t="s">
        <v>361</v>
      </c>
      <c r="B117" s="171">
        <f>B99-B111-B114</f>
        <v>844000</v>
      </c>
      <c r="C117" s="171">
        <f t="shared" ref="C117:F117" si="31">C99-C111-C114</f>
        <v>844000</v>
      </c>
      <c r="D117" s="171">
        <f t="shared" si="31"/>
        <v>844000</v>
      </c>
      <c r="E117" s="171">
        <f t="shared" si="31"/>
        <v>844000</v>
      </c>
      <c r="F117" s="171">
        <f t="shared" si="31"/>
        <v>844000</v>
      </c>
    </row>
    <row r="118" spans="1:8" x14ac:dyDescent="0.35">
      <c r="A118" s="254" t="s">
        <v>362</v>
      </c>
      <c r="B118" s="17">
        <f>B100-B112-B115</f>
        <v>0</v>
      </c>
      <c r="C118" s="17">
        <f t="shared" ref="C118:F118" si="32">C100-C112-C115</f>
        <v>0</v>
      </c>
      <c r="D118" s="17">
        <f t="shared" si="32"/>
        <v>0</v>
      </c>
      <c r="E118" s="17">
        <f t="shared" si="32"/>
        <v>0</v>
      </c>
      <c r="F118" s="17">
        <f t="shared" si="32"/>
        <v>0</v>
      </c>
    </row>
    <row r="119" spans="1:8" s="22" customFormat="1" x14ac:dyDescent="0.35">
      <c r="A119" s="257" t="s">
        <v>363</v>
      </c>
      <c r="B119" s="307">
        <f>B117+B118</f>
        <v>844000</v>
      </c>
      <c r="C119" s="307">
        <f t="shared" ref="C119:F119" si="33">C117+C118</f>
        <v>844000</v>
      </c>
      <c r="D119" s="307">
        <f t="shared" si="33"/>
        <v>844000</v>
      </c>
      <c r="E119" s="307">
        <f t="shared" si="33"/>
        <v>844000</v>
      </c>
      <c r="F119" s="307">
        <f t="shared" si="33"/>
        <v>844000</v>
      </c>
    </row>
  </sheetData>
  <pageMargins left="0.75" right="0.75" top="1" bottom="1" header="0.5" footer="0.5"/>
  <pageSetup paperSize="9" orientation="portrait" horizontalDpi="4294967292" verticalDpi="4294967292"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
  <sheetViews>
    <sheetView workbookViewId="0">
      <selection activeCell="B6" sqref="B6"/>
    </sheetView>
  </sheetViews>
  <sheetFormatPr defaultRowHeight="14.5" x14ac:dyDescent="0.35"/>
  <cols>
    <col min="1" max="1" width="27.6640625" style="263" bestFit="1" customWidth="1"/>
    <col min="2" max="2" width="11.25" style="263" customWidth="1"/>
    <col min="3" max="4" width="8.58203125" style="263" bestFit="1" customWidth="1"/>
    <col min="5" max="13" width="8.08203125" style="263" bestFit="1" customWidth="1"/>
    <col min="14" max="16384" width="8.6640625" style="263"/>
  </cols>
  <sheetData>
    <row r="1" spans="1:13" x14ac:dyDescent="0.35">
      <c r="A1" s="262"/>
      <c r="B1" s="346" t="s">
        <v>395</v>
      </c>
      <c r="C1" s="364" t="s">
        <v>186</v>
      </c>
      <c r="D1" s="364"/>
      <c r="E1" s="364"/>
      <c r="F1" s="364"/>
      <c r="G1" s="364"/>
      <c r="H1" s="364"/>
      <c r="I1" s="364"/>
      <c r="J1" s="364"/>
      <c r="K1" s="364"/>
      <c r="L1" s="364"/>
      <c r="M1" s="364"/>
    </row>
    <row r="2" spans="1:13" ht="15.5" x14ac:dyDescent="0.35">
      <c r="A2" s="264" t="s">
        <v>289</v>
      </c>
      <c r="B2" s="265">
        <v>2019</v>
      </c>
      <c r="C2" s="265">
        <v>2020</v>
      </c>
      <c r="D2" s="265">
        <v>2021</v>
      </c>
      <c r="E2" s="265">
        <v>2022</v>
      </c>
      <c r="F2" s="265">
        <v>2023</v>
      </c>
      <c r="G2" s="265">
        <v>2024</v>
      </c>
      <c r="H2" s="265">
        <v>2025</v>
      </c>
      <c r="I2" s="265">
        <v>2026</v>
      </c>
      <c r="J2" s="265">
        <v>2027</v>
      </c>
      <c r="K2" s="265">
        <v>2028</v>
      </c>
      <c r="L2" s="265">
        <v>2029</v>
      </c>
      <c r="M2" s="265">
        <v>2030</v>
      </c>
    </row>
    <row r="3" spans="1:13" x14ac:dyDescent="0.35">
      <c r="A3" s="266" t="s">
        <v>290</v>
      </c>
      <c r="B3" s="343">
        <v>16414</v>
      </c>
      <c r="C3" s="267">
        <v>13951.9</v>
      </c>
      <c r="D3" s="267">
        <v>11859.115</v>
      </c>
      <c r="E3" s="267">
        <v>9036.6456299999991</v>
      </c>
      <c r="F3" s="267">
        <v>6090.6991546199997</v>
      </c>
      <c r="G3" s="267">
        <v>3569.1497046073205</v>
      </c>
      <c r="H3" s="267">
        <v>1777.4365528944461</v>
      </c>
      <c r="I3" s="267">
        <v>728.74898668672313</v>
      </c>
      <c r="J3" s="267">
        <v>234.65717371312496</v>
      </c>
      <c r="K3" s="267">
        <v>54.909778648871281</v>
      </c>
      <c r="L3" s="267">
        <v>8.016827682735217</v>
      </c>
      <c r="M3" s="267">
        <v>0.4649760055986441</v>
      </c>
    </row>
    <row r="4" spans="1:13" ht="15.5" x14ac:dyDescent="0.35">
      <c r="A4" s="268" t="s">
        <v>291</v>
      </c>
      <c r="B4" s="343">
        <v>793</v>
      </c>
      <c r="C4" s="269">
        <v>674.05</v>
      </c>
      <c r="D4" s="270">
        <v>572.9425</v>
      </c>
      <c r="E4" s="270">
        <v>366.6832</v>
      </c>
      <c r="F4" s="270">
        <v>157.673776</v>
      </c>
      <c r="G4" s="270">
        <v>34.688230720000007</v>
      </c>
      <c r="H4" s="270">
        <v>0</v>
      </c>
      <c r="I4" s="270">
        <v>0</v>
      </c>
      <c r="J4" s="270">
        <v>0</v>
      </c>
      <c r="K4" s="270">
        <v>0</v>
      </c>
      <c r="L4" s="270">
        <v>0</v>
      </c>
      <c r="M4" s="270">
        <v>0</v>
      </c>
    </row>
    <row r="5" spans="1:13" ht="15.5" x14ac:dyDescent="0.35">
      <c r="A5" s="268" t="s">
        <v>292</v>
      </c>
      <c r="B5" s="343">
        <v>8</v>
      </c>
      <c r="C5" s="267">
        <v>1.6</v>
      </c>
      <c r="D5" s="270">
        <v>0</v>
      </c>
      <c r="E5" s="270">
        <v>0</v>
      </c>
      <c r="F5" s="270">
        <v>0</v>
      </c>
      <c r="G5" s="270">
        <v>0</v>
      </c>
      <c r="H5" s="270">
        <v>0</v>
      </c>
      <c r="I5" s="270">
        <v>0</v>
      </c>
      <c r="J5" s="270">
        <v>0</v>
      </c>
      <c r="K5" s="270">
        <v>0</v>
      </c>
      <c r="L5" s="270">
        <v>0</v>
      </c>
      <c r="M5" s="270">
        <v>0</v>
      </c>
    </row>
    <row r="6" spans="1:13" x14ac:dyDescent="0.35">
      <c r="A6" s="271" t="s">
        <v>293</v>
      </c>
      <c r="B6" s="344">
        <f>SUM(B3:B5)</f>
        <v>17215</v>
      </c>
      <c r="C6" s="272">
        <f>SUM(C3:C5)</f>
        <v>14627.55</v>
      </c>
      <c r="D6" s="272">
        <f t="shared" ref="D6:M6" si="0">SUM(D3:D5)</f>
        <v>12432.057499999999</v>
      </c>
      <c r="E6" s="272">
        <f t="shared" si="0"/>
        <v>9403.3288299999986</v>
      </c>
      <c r="F6" s="272">
        <f t="shared" si="0"/>
        <v>6248.3729306199994</v>
      </c>
      <c r="G6" s="272">
        <f t="shared" si="0"/>
        <v>3603.8379353273203</v>
      </c>
      <c r="H6" s="272">
        <f t="shared" si="0"/>
        <v>1777.4365528944461</v>
      </c>
      <c r="I6" s="272">
        <f t="shared" si="0"/>
        <v>728.74898668672313</v>
      </c>
      <c r="J6" s="272">
        <f t="shared" si="0"/>
        <v>234.65717371312496</v>
      </c>
      <c r="K6" s="272">
        <f t="shared" si="0"/>
        <v>54.909778648871281</v>
      </c>
      <c r="L6" s="272">
        <f t="shared" si="0"/>
        <v>8.016827682735217</v>
      </c>
      <c r="M6" s="272">
        <f t="shared" si="0"/>
        <v>0.4649760055986441</v>
      </c>
    </row>
    <row r="7" spans="1:13" x14ac:dyDescent="0.35">
      <c r="A7" s="271" t="s">
        <v>382</v>
      </c>
      <c r="B7" s="345">
        <f>B4+B5</f>
        <v>801</v>
      </c>
      <c r="C7" s="310">
        <f>C4+C5</f>
        <v>675.65</v>
      </c>
      <c r="D7" s="310">
        <f t="shared" ref="D7:M7" si="1">D4+D5</f>
        <v>572.9425</v>
      </c>
      <c r="E7" s="310">
        <f t="shared" si="1"/>
        <v>366.6832</v>
      </c>
      <c r="F7" s="310">
        <f t="shared" si="1"/>
        <v>157.673776</v>
      </c>
      <c r="G7" s="310">
        <f t="shared" si="1"/>
        <v>34.688230720000007</v>
      </c>
      <c r="H7" s="310">
        <f t="shared" si="1"/>
        <v>0</v>
      </c>
      <c r="I7" s="310">
        <f t="shared" si="1"/>
        <v>0</v>
      </c>
      <c r="J7" s="310">
        <f t="shared" si="1"/>
        <v>0</v>
      </c>
      <c r="K7" s="310">
        <f t="shared" si="1"/>
        <v>0</v>
      </c>
      <c r="L7" s="310">
        <f t="shared" si="1"/>
        <v>0</v>
      </c>
      <c r="M7" s="310">
        <f t="shared" si="1"/>
        <v>0</v>
      </c>
    </row>
    <row r="8" spans="1:13" ht="21.5" hidden="1" customHeight="1" x14ac:dyDescent="0.35">
      <c r="A8" s="273" t="s">
        <v>294</v>
      </c>
      <c r="B8" s="342"/>
      <c r="C8" s="274">
        <v>14641.25</v>
      </c>
      <c r="D8" s="274">
        <v>12445.0625</v>
      </c>
      <c r="E8" s="274">
        <v>9483.1376249999994</v>
      </c>
      <c r="F8" s="274">
        <v>6391.6347592499997</v>
      </c>
      <c r="G8" s="274">
        <v>3745.4979689205002</v>
      </c>
      <c r="H8" s="274">
        <v>1865.2579885224095</v>
      </c>
      <c r="I8" s="274">
        <v>764.7557752941882</v>
      </c>
      <c r="J8" s="274">
        <v>246.25135964472872</v>
      </c>
      <c r="K8" s="274">
        <v>57.622818156866565</v>
      </c>
      <c r="L8" s="274">
        <v>8.4129314509025299</v>
      </c>
      <c r="M8" s="274">
        <v>0.48795002415234834</v>
      </c>
    </row>
  </sheetData>
  <mergeCells count="1">
    <mergeCell ref="C1:M1"/>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3"/>
  <sheetViews>
    <sheetView topLeftCell="C47" workbookViewId="0">
      <selection activeCell="P55" sqref="P55"/>
    </sheetView>
  </sheetViews>
  <sheetFormatPr defaultColWidth="10.58203125" defaultRowHeight="15.5" x14ac:dyDescent="0.35"/>
  <cols>
    <col min="1" max="1" width="3" customWidth="1"/>
    <col min="2" max="2" width="61.5" customWidth="1"/>
    <col min="3" max="3" width="12.08203125" customWidth="1"/>
    <col min="4" max="22" width="8" customWidth="1"/>
    <col min="23" max="25" width="9.83203125" customWidth="1"/>
  </cols>
  <sheetData>
    <row r="1" spans="1:25" x14ac:dyDescent="0.35">
      <c r="B1" s="24" t="s">
        <v>3</v>
      </c>
      <c r="C1">
        <v>1.47</v>
      </c>
      <c r="D1" s="24"/>
      <c r="E1" s="24"/>
    </row>
    <row r="2" spans="1:25" x14ac:dyDescent="0.35">
      <c r="B2" s="24"/>
      <c r="C2" s="117"/>
      <c r="D2" s="24"/>
      <c r="E2" s="24"/>
    </row>
    <row r="3" spans="1:25" x14ac:dyDescent="0.35">
      <c r="B3" s="24"/>
      <c r="C3" s="95">
        <v>2008</v>
      </c>
      <c r="D3" s="95">
        <v>2009</v>
      </c>
      <c r="E3" s="95">
        <v>2010</v>
      </c>
      <c r="F3" s="95">
        <v>2011</v>
      </c>
      <c r="G3" s="95">
        <v>2012</v>
      </c>
      <c r="H3" s="95">
        <v>2013</v>
      </c>
      <c r="I3" s="95">
        <v>2014</v>
      </c>
      <c r="J3" s="95">
        <v>2015</v>
      </c>
      <c r="K3" s="95">
        <v>2016</v>
      </c>
      <c r="L3" s="95">
        <v>2017</v>
      </c>
      <c r="M3" s="95">
        <v>2018</v>
      </c>
      <c r="N3" s="95">
        <v>2019</v>
      </c>
      <c r="O3" s="95">
        <v>2020</v>
      </c>
      <c r="P3" s="95">
        <v>2021</v>
      </c>
      <c r="Q3" s="95">
        <v>2022</v>
      </c>
      <c r="R3" s="95">
        <v>2023</v>
      </c>
      <c r="S3" s="95">
        <v>2024</v>
      </c>
      <c r="T3" s="95">
        <v>2025</v>
      </c>
      <c r="U3" s="95">
        <v>2026</v>
      </c>
      <c r="V3" s="95">
        <v>2027</v>
      </c>
      <c r="W3" s="95">
        <v>2028</v>
      </c>
      <c r="X3" s="95">
        <v>2029</v>
      </c>
      <c r="Y3" s="95">
        <v>2030</v>
      </c>
    </row>
    <row r="4" spans="1:25" ht="31" x14ac:dyDescent="0.35">
      <c r="B4" s="131" t="s">
        <v>185</v>
      </c>
      <c r="C4" s="25">
        <v>84690</v>
      </c>
      <c r="D4" s="25">
        <v>63873</v>
      </c>
      <c r="E4" s="25">
        <v>55873</v>
      </c>
      <c r="F4" s="29">
        <v>51773</v>
      </c>
      <c r="G4" s="29">
        <v>29518</v>
      </c>
      <c r="H4" s="29">
        <v>26891</v>
      </c>
      <c r="I4" s="29">
        <v>57480</v>
      </c>
      <c r="J4" s="29">
        <v>39719</v>
      </c>
      <c r="K4" s="29">
        <v>27737</v>
      </c>
      <c r="L4" s="168">
        <v>29247</v>
      </c>
      <c r="M4" s="168">
        <f>M26</f>
        <v>10523</v>
      </c>
      <c r="N4" s="168">
        <f>N26</f>
        <v>17225</v>
      </c>
      <c r="O4" s="26">
        <f>O27</f>
        <v>14627.55</v>
      </c>
      <c r="P4" s="26">
        <f t="shared" ref="P4:Y4" si="0">P27</f>
        <v>12432.057499999999</v>
      </c>
      <c r="Q4" s="26">
        <f t="shared" si="0"/>
        <v>9403.3288299999986</v>
      </c>
      <c r="R4" s="26">
        <f t="shared" si="0"/>
        <v>6248.3729306199994</v>
      </c>
      <c r="S4" s="26">
        <f t="shared" si="0"/>
        <v>3603.8379353273203</v>
      </c>
      <c r="T4" s="26">
        <f t="shared" si="0"/>
        <v>1777.4365528944461</v>
      </c>
      <c r="U4" s="26">
        <f t="shared" si="0"/>
        <v>728.74898668672313</v>
      </c>
      <c r="V4" s="26">
        <f t="shared" si="0"/>
        <v>234.65717371312496</v>
      </c>
      <c r="W4" s="26">
        <f t="shared" si="0"/>
        <v>54.909778648871281</v>
      </c>
      <c r="X4" s="26">
        <f t="shared" si="0"/>
        <v>8.016827682735217</v>
      </c>
      <c r="Y4" s="26">
        <f t="shared" si="0"/>
        <v>0.4649760055986441</v>
      </c>
    </row>
    <row r="5" spans="1:25" x14ac:dyDescent="0.35">
      <c r="A5" t="s">
        <v>8</v>
      </c>
      <c r="B5" s="24" t="s">
        <v>9</v>
      </c>
      <c r="C5" s="24"/>
      <c r="D5" s="24"/>
      <c r="E5" s="24"/>
      <c r="F5" s="28">
        <v>10.9</v>
      </c>
      <c r="G5" s="28">
        <v>10.9</v>
      </c>
      <c r="H5" s="28">
        <v>10.9</v>
      </c>
      <c r="I5" s="28">
        <v>10.9</v>
      </c>
      <c r="J5" s="28">
        <v>10.9</v>
      </c>
      <c r="K5" s="29"/>
      <c r="L5" s="29"/>
      <c r="M5" s="29"/>
      <c r="N5" s="29"/>
      <c r="O5" s="29"/>
      <c r="P5" s="29"/>
      <c r="Q5" s="29"/>
    </row>
    <row r="6" spans="1:25" x14ac:dyDescent="0.35">
      <c r="A6" t="s">
        <v>10</v>
      </c>
      <c r="B6" s="24" t="s">
        <v>11</v>
      </c>
      <c r="C6" s="24"/>
      <c r="D6" s="24"/>
      <c r="E6" s="24"/>
      <c r="F6" s="29"/>
      <c r="G6" s="30">
        <v>13.25</v>
      </c>
      <c r="H6" s="30">
        <v>13.25</v>
      </c>
      <c r="I6" s="30">
        <v>13.25</v>
      </c>
      <c r="J6" s="30">
        <v>13.25</v>
      </c>
      <c r="K6" s="30">
        <v>13.25</v>
      </c>
      <c r="L6" s="30">
        <v>13.25</v>
      </c>
      <c r="M6" s="30"/>
      <c r="N6" s="29"/>
      <c r="O6" s="29"/>
      <c r="P6" s="29"/>
      <c r="Q6" s="29"/>
    </row>
    <row r="7" spans="1:25" x14ac:dyDescent="0.35">
      <c r="A7" t="s">
        <v>12</v>
      </c>
      <c r="B7" s="24" t="s">
        <v>13</v>
      </c>
      <c r="C7" s="119">
        <f>D7*((100-$C$1)/100)</f>
        <v>14.957219185167837</v>
      </c>
      <c r="D7" s="119">
        <f>E7*((100-$C$1)/100)</f>
        <v>15.180370633479992</v>
      </c>
      <c r="E7" s="119">
        <f>F7*((100-$C$1)/100)</f>
        <v>15.406851348300002</v>
      </c>
      <c r="F7" s="119">
        <f>G7*((100-$C$1)/100)</f>
        <v>15.636711</v>
      </c>
      <c r="G7" s="31">
        <v>15.87</v>
      </c>
      <c r="H7" s="30">
        <f>G7*((100+$C1)/100)</f>
        <v>16.103288999999997</v>
      </c>
      <c r="I7" s="30">
        <f>H7*((100+$C1)/100)</f>
        <v>16.340007348299995</v>
      </c>
      <c r="J7" s="30">
        <f>I7*((100+$C1)/100)</f>
        <v>16.580205456320005</v>
      </c>
      <c r="K7" s="30">
        <v>17.52</v>
      </c>
      <c r="L7" s="31">
        <v>17.8</v>
      </c>
      <c r="M7" s="30">
        <v>18.09</v>
      </c>
      <c r="N7" s="30">
        <v>18.39</v>
      </c>
      <c r="O7" s="30">
        <v>18.690000000000001</v>
      </c>
    </row>
    <row r="8" spans="1:25" x14ac:dyDescent="0.35">
      <c r="B8" s="24" t="s">
        <v>182</v>
      </c>
      <c r="C8" s="24"/>
      <c r="D8" s="24"/>
      <c r="E8" s="24"/>
      <c r="F8" s="29"/>
      <c r="G8" s="31"/>
      <c r="H8" s="30"/>
      <c r="I8" s="30"/>
      <c r="J8" s="30"/>
      <c r="K8" s="30"/>
      <c r="L8" s="30"/>
      <c r="M8" s="30"/>
      <c r="N8" s="30">
        <v>18.739999999999998</v>
      </c>
      <c r="O8" s="30">
        <v>19.05</v>
      </c>
      <c r="P8" s="30">
        <v>19.37</v>
      </c>
      <c r="Q8" s="30">
        <v>19.690000000000001</v>
      </c>
      <c r="R8" s="30">
        <v>20.03</v>
      </c>
      <c r="S8" s="30">
        <f t="shared" ref="S8:Y8" si="1">R8*((100+$C1)/100)</f>
        <v>20.324441</v>
      </c>
      <c r="T8" s="30">
        <f t="shared" si="1"/>
        <v>20.623210282700001</v>
      </c>
      <c r="U8" s="30">
        <f t="shared" si="1"/>
        <v>20.926371473855689</v>
      </c>
      <c r="V8" s="30">
        <f t="shared" si="1"/>
        <v>21.233989134521366</v>
      </c>
      <c r="W8" s="30">
        <f t="shared" si="1"/>
        <v>21.546128774798827</v>
      </c>
      <c r="X8" s="30">
        <f t="shared" si="1"/>
        <v>21.86285686778837</v>
      </c>
      <c r="Y8" s="30">
        <f t="shared" si="1"/>
        <v>22.184240863744858</v>
      </c>
    </row>
    <row r="9" spans="1:25" x14ac:dyDescent="0.35">
      <c r="B9" s="24" t="s">
        <v>95</v>
      </c>
      <c r="C9" s="24"/>
      <c r="D9" s="24"/>
      <c r="E9" s="24"/>
      <c r="F9" s="103">
        <f>F4/(F5*1000)</f>
        <v>4.7498165137614681</v>
      </c>
      <c r="G9" s="103">
        <f>G4/(G5*1000)</f>
        <v>2.708073394495413</v>
      </c>
      <c r="H9" s="103">
        <f>H4/(H5*1000)</f>
        <v>2.4670642201834863</v>
      </c>
      <c r="I9" s="103">
        <f>I4/(I5*1000)</f>
        <v>5.2733944954128438</v>
      </c>
      <c r="J9" s="103">
        <f>J4/(J5*1000)</f>
        <v>3.6439449541284405</v>
      </c>
      <c r="K9" s="104"/>
      <c r="L9" s="33"/>
      <c r="M9" s="33"/>
      <c r="N9" s="33"/>
      <c r="O9" s="33"/>
      <c r="P9" s="33"/>
      <c r="Q9" s="33"/>
    </row>
    <row r="10" spans="1:25" x14ac:dyDescent="0.35">
      <c r="B10" s="24" t="s">
        <v>96</v>
      </c>
      <c r="C10" s="24"/>
      <c r="D10" s="24"/>
      <c r="E10" s="24"/>
      <c r="F10" s="104"/>
      <c r="G10" s="103">
        <f t="shared" ref="G10:L10" si="2">G4/(G6*1000)</f>
        <v>2.2277735849056604</v>
      </c>
      <c r="H10" s="103">
        <f t="shared" si="2"/>
        <v>2.0295094339622644</v>
      </c>
      <c r="I10" s="103">
        <f t="shared" si="2"/>
        <v>4.3381132075471696</v>
      </c>
      <c r="J10" s="103">
        <f t="shared" si="2"/>
        <v>2.9976603773584904</v>
      </c>
      <c r="K10" s="103">
        <f t="shared" si="2"/>
        <v>2.0933584905660378</v>
      </c>
      <c r="L10" s="103">
        <f t="shared" si="2"/>
        <v>2.2073207547169811</v>
      </c>
      <c r="M10" s="33"/>
      <c r="N10" s="33"/>
      <c r="O10" s="33"/>
      <c r="P10" s="33"/>
      <c r="Q10" s="33"/>
    </row>
    <row r="11" spans="1:25" x14ac:dyDescent="0.35">
      <c r="B11" s="24" t="s">
        <v>97</v>
      </c>
      <c r="C11" s="24"/>
      <c r="D11" s="24"/>
      <c r="E11" s="24"/>
      <c r="F11" s="104"/>
      <c r="G11" s="103">
        <f>G4/(G7*1000)</f>
        <v>1.859987397605545</v>
      </c>
      <c r="H11" s="103">
        <f t="shared" ref="H11:O11" si="3">H4/(H7*1000)</f>
        <v>1.6699073089975598</v>
      </c>
      <c r="I11" s="103">
        <f t="shared" si="3"/>
        <v>3.5177462760431495</v>
      </c>
      <c r="J11" s="103">
        <f t="shared" si="3"/>
        <v>2.3955674195134899</v>
      </c>
      <c r="K11" s="103">
        <f t="shared" si="3"/>
        <v>1.583162100456621</v>
      </c>
      <c r="L11" s="169">
        <f t="shared" si="3"/>
        <v>1.6430898876404494</v>
      </c>
      <c r="M11" s="169">
        <f t="shared" si="3"/>
        <v>0.58170259812050862</v>
      </c>
      <c r="N11" s="169">
        <f t="shared" si="3"/>
        <v>0.93665035345296355</v>
      </c>
      <c r="O11" s="169">
        <f t="shared" si="3"/>
        <v>0.78264044943820221</v>
      </c>
    </row>
    <row r="12" spans="1:25" x14ac:dyDescent="0.35">
      <c r="B12" s="24" t="s">
        <v>183</v>
      </c>
      <c r="N12" s="32">
        <f>N4/(N8*1000)</f>
        <v>0.91915688367129134</v>
      </c>
      <c r="O12" s="32">
        <f>O4/(O8*1000)</f>
        <v>0.76785039370078734</v>
      </c>
      <c r="P12" s="32">
        <f t="shared" ref="P12:Y12" si="4">P4/(P8*1000)</f>
        <v>0.64182021166752701</v>
      </c>
      <c r="Q12" s="32">
        <f t="shared" si="4"/>
        <v>0.47756875723717618</v>
      </c>
      <c r="R12" s="32">
        <f t="shared" si="4"/>
        <v>0.31195072045032446</v>
      </c>
      <c r="S12" s="32">
        <f t="shared" si="4"/>
        <v>0.1773154762449467</v>
      </c>
      <c r="T12" s="32">
        <f t="shared" si="4"/>
        <v>8.618622069646778E-2</v>
      </c>
      <c r="U12" s="32">
        <f t="shared" si="4"/>
        <v>3.4824431344783489E-2</v>
      </c>
      <c r="V12" s="32">
        <f t="shared" si="4"/>
        <v>1.1051016943944308E-2</v>
      </c>
      <c r="W12" s="32">
        <f t="shared" si="4"/>
        <v>2.5484753768433726E-3</v>
      </c>
      <c r="X12" s="32">
        <f t="shared" si="4"/>
        <v>3.6668710458178072E-4</v>
      </c>
      <c r="Y12" s="32">
        <f t="shared" si="4"/>
        <v>2.0959743831421459E-5</v>
      </c>
    </row>
    <row r="17" spans="2:25" x14ac:dyDescent="0.35">
      <c r="B17" s="24"/>
      <c r="C17" s="24"/>
      <c r="D17" s="24"/>
      <c r="E17" s="24"/>
      <c r="F17" s="33"/>
      <c r="G17" s="32"/>
      <c r="H17" s="32"/>
      <c r="I17" s="32"/>
      <c r="J17" s="32"/>
      <c r="K17" s="32"/>
      <c r="L17" s="32"/>
      <c r="M17" s="32"/>
      <c r="N17" s="32"/>
      <c r="O17" s="32"/>
      <c r="P17" s="32"/>
      <c r="Q17" s="32"/>
      <c r="R17" s="32"/>
      <c r="S17" s="32"/>
      <c r="T17" s="32"/>
      <c r="U17" s="32"/>
      <c r="V17" s="32"/>
      <c r="W17" s="32"/>
      <c r="X17" s="32"/>
      <c r="Y17" s="32"/>
    </row>
    <row r="18" spans="2:25" x14ac:dyDescent="0.35">
      <c r="B18" s="97" t="s">
        <v>98</v>
      </c>
      <c r="C18" s="24"/>
      <c r="D18" s="24"/>
      <c r="E18" s="24"/>
      <c r="F18" s="33"/>
      <c r="G18" s="32"/>
      <c r="H18" s="32"/>
      <c r="I18" s="32"/>
      <c r="J18" s="32"/>
      <c r="K18" s="32"/>
      <c r="L18" s="32"/>
      <c r="M18" s="32"/>
      <c r="N18" s="32"/>
      <c r="O18" s="32"/>
      <c r="P18" s="32"/>
      <c r="Q18" s="32"/>
      <c r="R18" s="32"/>
      <c r="S18" s="32"/>
      <c r="T18" s="32"/>
      <c r="U18" s="32"/>
      <c r="V18" s="32"/>
      <c r="W18" s="32"/>
      <c r="X18" s="32"/>
      <c r="Y18" s="32"/>
    </row>
    <row r="19" spans="2:25" x14ac:dyDescent="0.35">
      <c r="B19" s="24" t="s">
        <v>14</v>
      </c>
      <c r="C19" s="24"/>
      <c r="D19" s="24"/>
      <c r="E19" s="24"/>
      <c r="G19" s="93">
        <f>G9</f>
        <v>2.708073394495413</v>
      </c>
      <c r="H19" s="93">
        <f>H9</f>
        <v>2.4670642201834863</v>
      </c>
      <c r="I19" s="93">
        <f>I9</f>
        <v>5.2733944954128438</v>
      </c>
      <c r="J19" s="93">
        <f>J9</f>
        <v>3.6439449541284405</v>
      </c>
    </row>
    <row r="20" spans="2:25" x14ac:dyDescent="0.35">
      <c r="B20" s="24" t="s">
        <v>15</v>
      </c>
      <c r="C20" s="24"/>
      <c r="D20" s="24"/>
      <c r="E20" s="24"/>
      <c r="K20" s="93">
        <f>K10</f>
        <v>2.0933584905660378</v>
      </c>
      <c r="L20" s="93">
        <f>L10</f>
        <v>2.2073207547169811</v>
      </c>
    </row>
    <row r="21" spans="2:25" x14ac:dyDescent="0.35">
      <c r="B21" s="24" t="s">
        <v>181</v>
      </c>
      <c r="C21" s="24"/>
      <c r="D21" s="24"/>
      <c r="E21" s="24"/>
      <c r="M21" s="93">
        <f>M11</f>
        <v>0.58170259812050862</v>
      </c>
      <c r="N21" s="93">
        <f>N11</f>
        <v>0.93665035345296355</v>
      </c>
      <c r="O21" s="93">
        <f>O11</f>
        <v>0.78264044943820221</v>
      </c>
    </row>
    <row r="22" spans="2:25" s="34" customFormat="1" x14ac:dyDescent="0.35">
      <c r="B22" s="24" t="s">
        <v>184</v>
      </c>
      <c r="C22" s="35"/>
      <c r="D22" s="35"/>
      <c r="E22" s="35"/>
      <c r="M22" s="94"/>
      <c r="N22" s="94"/>
      <c r="O22" s="94"/>
      <c r="P22" s="93">
        <f>P12</f>
        <v>0.64182021166752701</v>
      </c>
      <c r="Q22" s="93">
        <f>Q12</f>
        <v>0.47756875723717618</v>
      </c>
      <c r="R22" s="93">
        <f>R12</f>
        <v>0.31195072045032446</v>
      </c>
    </row>
    <row r="23" spans="2:25" s="34" customFormat="1" x14ac:dyDescent="0.35">
      <c r="B23" s="98" t="s">
        <v>93</v>
      </c>
      <c r="C23" s="99"/>
      <c r="D23" s="99"/>
      <c r="E23" s="99"/>
      <c r="F23" s="100"/>
      <c r="G23" s="100"/>
      <c r="H23" s="100"/>
      <c r="I23" s="100"/>
      <c r="J23" s="100"/>
      <c r="K23" s="100"/>
      <c r="L23" s="100"/>
      <c r="M23" s="100"/>
      <c r="N23" s="96">
        <v>2019</v>
      </c>
      <c r="O23" s="96">
        <v>2020</v>
      </c>
      <c r="P23" s="96">
        <v>2021</v>
      </c>
      <c r="Q23" s="96">
        <v>2022</v>
      </c>
      <c r="R23" s="96">
        <v>2023</v>
      </c>
      <c r="S23" s="96">
        <v>2024</v>
      </c>
      <c r="T23" s="96">
        <v>2025</v>
      </c>
      <c r="U23" s="96">
        <v>2026</v>
      </c>
      <c r="V23" s="96">
        <v>2027</v>
      </c>
      <c r="W23" s="96">
        <v>2028</v>
      </c>
      <c r="X23" s="96">
        <v>2029</v>
      </c>
      <c r="Y23" s="96">
        <v>2030</v>
      </c>
    </row>
    <row r="24" spans="2:25" s="34" customFormat="1" hidden="1" x14ac:dyDescent="0.35">
      <c r="B24" s="99" t="s">
        <v>94</v>
      </c>
      <c r="C24" s="99"/>
      <c r="D24" s="99"/>
      <c r="E24" s="99"/>
      <c r="F24" s="100"/>
      <c r="G24" s="100"/>
      <c r="H24" s="100"/>
      <c r="I24" s="100"/>
      <c r="J24" s="100"/>
      <c r="K24" s="100"/>
      <c r="L24" s="100"/>
      <c r="M24" s="100"/>
      <c r="N24" s="100">
        <v>8.7999999999999995E-2</v>
      </c>
      <c r="P24" s="100"/>
      <c r="Q24" s="100"/>
      <c r="R24" s="100"/>
      <c r="S24" s="100"/>
      <c r="T24" s="100"/>
      <c r="U24" s="100"/>
      <c r="V24" s="100"/>
      <c r="W24" s="100"/>
      <c r="X24" s="100"/>
      <c r="Y24" s="100"/>
    </row>
    <row r="25" spans="2:25" hidden="1" x14ac:dyDescent="0.35">
      <c r="B25" s="99" t="s">
        <v>92</v>
      </c>
      <c r="C25" s="99"/>
      <c r="D25" s="99"/>
      <c r="E25" s="99"/>
      <c r="F25" s="100"/>
      <c r="G25" s="100"/>
      <c r="H25" s="100"/>
      <c r="I25" s="100"/>
      <c r="J25" s="100"/>
      <c r="K25" s="100"/>
      <c r="L25" s="100"/>
      <c r="M25" s="100"/>
      <c r="N25" s="100"/>
      <c r="O25" s="100">
        <v>0.85</v>
      </c>
      <c r="P25" s="100">
        <f>O25-$N$24</f>
        <v>0.76200000000000001</v>
      </c>
      <c r="Q25" s="100">
        <f t="shared" ref="Q25:X25" si="5">P25-$N24</f>
        <v>0.67400000000000004</v>
      </c>
      <c r="R25" s="100">
        <f t="shared" si="5"/>
        <v>0.58600000000000008</v>
      </c>
      <c r="S25" s="100">
        <f t="shared" si="5"/>
        <v>0.49800000000000011</v>
      </c>
      <c r="T25" s="100">
        <f t="shared" si="5"/>
        <v>0.41000000000000014</v>
      </c>
      <c r="U25" s="100">
        <f t="shared" si="5"/>
        <v>0.32200000000000017</v>
      </c>
      <c r="V25" s="100">
        <f t="shared" si="5"/>
        <v>0.23400000000000018</v>
      </c>
      <c r="W25" s="100">
        <f t="shared" si="5"/>
        <v>0.14600000000000019</v>
      </c>
      <c r="X25" s="100">
        <f t="shared" si="5"/>
        <v>5.800000000000019E-2</v>
      </c>
      <c r="Y25" s="100"/>
    </row>
    <row r="26" spans="2:25" hidden="1" x14ac:dyDescent="0.35">
      <c r="B26" s="99" t="s">
        <v>186</v>
      </c>
      <c r="C26" s="100"/>
      <c r="D26" s="100"/>
      <c r="E26" s="100"/>
      <c r="F26" s="100"/>
      <c r="G26" s="100"/>
      <c r="H26" s="100"/>
      <c r="I26" s="100"/>
      <c r="J26" s="100"/>
      <c r="K26" s="100"/>
      <c r="L26" s="105"/>
      <c r="M26" s="105">
        <v>10523</v>
      </c>
      <c r="N26" s="124">
        <v>17225</v>
      </c>
      <c r="O26" s="167">
        <f>N26*O25</f>
        <v>14641.25</v>
      </c>
      <c r="P26" s="167">
        <f t="shared" ref="P26:Y26" si="6">O26*O25</f>
        <v>12445.0625</v>
      </c>
      <c r="Q26" s="167">
        <f t="shared" si="6"/>
        <v>9483.1376249999994</v>
      </c>
      <c r="R26" s="167">
        <f t="shared" si="6"/>
        <v>6391.6347592499997</v>
      </c>
      <c r="S26" s="167">
        <f t="shared" si="6"/>
        <v>3745.4979689205002</v>
      </c>
      <c r="T26" s="167">
        <f t="shared" si="6"/>
        <v>1865.2579885224095</v>
      </c>
      <c r="U26" s="167">
        <f t="shared" si="6"/>
        <v>764.7557752941882</v>
      </c>
      <c r="V26" s="167">
        <f t="shared" si="6"/>
        <v>246.25135964472872</v>
      </c>
      <c r="W26" s="167">
        <f t="shared" si="6"/>
        <v>57.622818156866565</v>
      </c>
      <c r="X26" s="167">
        <f t="shared" si="6"/>
        <v>8.4129314509025299</v>
      </c>
      <c r="Y26" s="167">
        <f t="shared" si="6"/>
        <v>0.48795002415234834</v>
      </c>
    </row>
    <row r="27" spans="2:25" ht="19.5" customHeight="1" x14ac:dyDescent="0.35">
      <c r="B27" s="99" t="s">
        <v>186</v>
      </c>
      <c r="M27">
        <v>10523</v>
      </c>
      <c r="N27" s="42">
        <v>17225</v>
      </c>
      <c r="O27" s="261">
        <v>14627.55</v>
      </c>
      <c r="P27" s="261">
        <v>12432.057499999999</v>
      </c>
      <c r="Q27" s="261">
        <v>9403.3288299999986</v>
      </c>
      <c r="R27" s="261">
        <v>6248.3729306199994</v>
      </c>
      <c r="S27" s="261">
        <v>3603.8379353273203</v>
      </c>
      <c r="T27" s="261">
        <v>1777.4365528944461</v>
      </c>
      <c r="U27" s="261">
        <v>728.74898668672313</v>
      </c>
      <c r="V27" s="261">
        <v>234.65717371312496</v>
      </c>
      <c r="W27" s="261">
        <v>54.909778648871281</v>
      </c>
      <c r="X27" s="261">
        <v>8.016827682735217</v>
      </c>
      <c r="Y27" s="261">
        <v>0.4649760055986441</v>
      </c>
    </row>
    <row r="53" spans="2:25" x14ac:dyDescent="0.35">
      <c r="B53" s="24"/>
      <c r="C53" s="117"/>
      <c r="D53" s="117"/>
      <c r="E53" s="117"/>
      <c r="F53" s="118"/>
      <c r="G53" s="118"/>
      <c r="H53" s="118"/>
      <c r="I53" s="118"/>
      <c r="J53" s="118"/>
      <c r="K53" s="118"/>
      <c r="L53" s="32"/>
      <c r="M53" s="32"/>
      <c r="N53" s="32"/>
      <c r="O53" s="32"/>
      <c r="P53" s="32"/>
      <c r="Q53" s="32"/>
      <c r="R53" s="32"/>
      <c r="S53" s="32"/>
      <c r="T53" s="32"/>
      <c r="U53" s="32"/>
      <c r="V53" s="32"/>
      <c r="W53" s="32"/>
      <c r="X53" s="32"/>
      <c r="Y53" s="32"/>
    </row>
    <row r="54" spans="2:25" x14ac:dyDescent="0.35">
      <c r="B54" s="24"/>
      <c r="C54" s="95">
        <v>2008</v>
      </c>
      <c r="D54" s="95">
        <v>2009</v>
      </c>
      <c r="E54" s="95">
        <v>2010</v>
      </c>
      <c r="F54" s="95">
        <v>2011</v>
      </c>
      <c r="G54" s="95">
        <v>2012</v>
      </c>
      <c r="H54" s="95">
        <v>2013</v>
      </c>
      <c r="I54" s="95">
        <v>2014</v>
      </c>
      <c r="J54" s="95">
        <v>2015</v>
      </c>
      <c r="K54" s="95">
        <v>2016</v>
      </c>
      <c r="L54" s="95">
        <v>2017</v>
      </c>
      <c r="M54" s="95">
        <v>2018</v>
      </c>
      <c r="N54" s="95">
        <v>2019</v>
      </c>
      <c r="O54" s="95">
        <v>2020</v>
      </c>
      <c r="P54" s="95">
        <v>2021</v>
      </c>
      <c r="Q54" s="95">
        <v>2022</v>
      </c>
      <c r="R54" s="95">
        <v>2023</v>
      </c>
      <c r="S54" s="95">
        <v>2024</v>
      </c>
      <c r="T54" s="95">
        <v>2025</v>
      </c>
      <c r="U54" s="95">
        <v>2026</v>
      </c>
      <c r="V54" s="95">
        <v>2027</v>
      </c>
      <c r="W54" s="95">
        <v>2028</v>
      </c>
      <c r="X54" s="95">
        <v>2029</v>
      </c>
      <c r="Y54" s="95">
        <v>2030</v>
      </c>
    </row>
    <row r="55" spans="2:25" x14ac:dyDescent="0.35">
      <c r="B55" s="123" t="s">
        <v>126</v>
      </c>
      <c r="C55" s="120">
        <f t="shared" ref="C55:J55" si="7">C56/(C7*10)</f>
        <v>1.0296031507829504</v>
      </c>
      <c r="D55" s="120">
        <f t="shared" si="7"/>
        <v>0.30961035889560218</v>
      </c>
      <c r="E55" s="120">
        <f t="shared" si="7"/>
        <v>0.24015289797731837</v>
      </c>
      <c r="F55" s="120">
        <f t="shared" si="7"/>
        <v>0.23022744361010447</v>
      </c>
      <c r="G55" s="120">
        <f t="shared" si="7"/>
        <v>6.9313169502205424E-2</v>
      </c>
      <c r="H55" s="120">
        <f t="shared" si="7"/>
        <v>9.3148672920171802E-2</v>
      </c>
      <c r="I55" s="120">
        <f t="shared" si="7"/>
        <v>0.27539767296788747</v>
      </c>
      <c r="J55" s="120">
        <f t="shared" si="7"/>
        <v>5.4281595144946779E-2</v>
      </c>
      <c r="K55" s="120">
        <f>K57/(K7*10)</f>
        <v>9.1324200913242018E-2</v>
      </c>
      <c r="L55" s="120">
        <f>L57/(L7*10)</f>
        <v>7.3033707865168537E-2</v>
      </c>
      <c r="M55" s="120">
        <f>M57/(M7*10)</f>
        <v>3.316749585406302E-2</v>
      </c>
      <c r="N55" s="120">
        <f>N57/(N8*10)</f>
        <v>4.8025613660619006E-2</v>
      </c>
      <c r="O55" s="32">
        <f t="shared" ref="O55:T55" si="8">O63</f>
        <v>4.0157480314960629E-2</v>
      </c>
      <c r="P55" s="32">
        <f t="shared" si="8"/>
        <v>3.3569953536396482E-2</v>
      </c>
      <c r="Q55" s="32">
        <f t="shared" si="8"/>
        <v>2.5164575926866429E-2</v>
      </c>
      <c r="R55" s="32">
        <f t="shared" si="8"/>
        <v>1.5139300349475786E-2</v>
      </c>
      <c r="S55" s="32">
        <f t="shared" si="8"/>
        <v>6.8930292317510725E-3</v>
      </c>
      <c r="T55" s="32">
        <f t="shared" si="8"/>
        <v>2.1194689270782833E-3</v>
      </c>
      <c r="U55" s="121">
        <v>0</v>
      </c>
      <c r="V55" s="121">
        <v>0</v>
      </c>
      <c r="W55" s="122">
        <v>0</v>
      </c>
      <c r="X55" s="122">
        <v>0</v>
      </c>
      <c r="Y55" s="122">
        <v>0</v>
      </c>
    </row>
    <row r="56" spans="2:25" x14ac:dyDescent="0.35">
      <c r="B56" s="24" t="s">
        <v>128</v>
      </c>
      <c r="C56" s="117">
        <v>154</v>
      </c>
      <c r="D56" s="117">
        <v>47</v>
      </c>
      <c r="E56" s="117">
        <v>37</v>
      </c>
      <c r="F56">
        <v>36</v>
      </c>
      <c r="G56">
        <v>11</v>
      </c>
      <c r="H56">
        <v>15</v>
      </c>
      <c r="I56">
        <v>45</v>
      </c>
      <c r="J56">
        <v>9</v>
      </c>
      <c r="K56">
        <v>17</v>
      </c>
      <c r="L56">
        <v>13</v>
      </c>
      <c r="M56">
        <v>7</v>
      </c>
    </row>
    <row r="57" spans="2:25" x14ac:dyDescent="0.35">
      <c r="B57" s="24" t="s">
        <v>127</v>
      </c>
      <c r="C57" s="24"/>
      <c r="D57" s="24"/>
      <c r="E57" s="24"/>
      <c r="F57" s="104"/>
      <c r="G57" s="103"/>
      <c r="H57" s="103"/>
      <c r="I57" s="103"/>
      <c r="J57" s="103"/>
      <c r="K57" s="118">
        <v>16</v>
      </c>
      <c r="L57" s="170">
        <v>13</v>
      </c>
      <c r="M57" s="170">
        <v>6</v>
      </c>
      <c r="N57" s="170">
        <v>9</v>
      </c>
      <c r="O57" s="91">
        <f>O62</f>
        <v>7.6499999999999995</v>
      </c>
      <c r="P57" s="91">
        <f t="shared" ref="P57:Y57" si="9">P62</f>
        <v>6.5024999999999995</v>
      </c>
      <c r="Q57" s="91">
        <f t="shared" si="9"/>
        <v>4.9549050000000001</v>
      </c>
      <c r="R57" s="91">
        <f t="shared" si="9"/>
        <v>3.0324018600000002</v>
      </c>
      <c r="S57" s="91">
        <f t="shared" si="9"/>
        <v>1.4009696593200001</v>
      </c>
      <c r="T57" s="91">
        <f t="shared" si="9"/>
        <v>0.43710253370783991</v>
      </c>
      <c r="U57" s="91">
        <f t="shared" si="9"/>
        <v>7.081061046067004E-2</v>
      </c>
      <c r="V57" s="91">
        <f t="shared" si="9"/>
        <v>0</v>
      </c>
      <c r="W57" s="91">
        <f t="shared" si="9"/>
        <v>0</v>
      </c>
      <c r="X57" s="91">
        <f t="shared" si="9"/>
        <v>0</v>
      </c>
      <c r="Y57" s="91">
        <f t="shared" si="9"/>
        <v>0</v>
      </c>
    </row>
    <row r="58" spans="2:25" x14ac:dyDescent="0.35">
      <c r="B58" s="24"/>
      <c r="C58" s="24"/>
      <c r="D58" s="24"/>
      <c r="E58" s="24"/>
      <c r="F58" s="104"/>
      <c r="G58" s="103"/>
      <c r="H58" s="103"/>
      <c r="I58" s="103"/>
      <c r="J58" s="103"/>
      <c r="K58" s="103"/>
      <c r="L58" s="32"/>
      <c r="M58" s="32"/>
      <c r="N58" s="32"/>
      <c r="O58" s="32"/>
      <c r="P58" s="32"/>
      <c r="Q58" s="32"/>
      <c r="R58" s="32"/>
      <c r="S58" s="32"/>
      <c r="T58" s="32"/>
      <c r="U58" s="32"/>
      <c r="V58" s="32"/>
      <c r="W58" s="32"/>
      <c r="X58" s="32"/>
      <c r="Y58" s="32"/>
    </row>
    <row r="59" spans="2:25" x14ac:dyDescent="0.35">
      <c r="B59" s="98" t="s">
        <v>129</v>
      </c>
      <c r="C59" s="99"/>
      <c r="D59" s="99"/>
      <c r="E59" s="99"/>
      <c r="F59" s="100"/>
      <c r="G59" s="100"/>
      <c r="H59" s="100"/>
      <c r="I59" s="100"/>
      <c r="J59" s="100"/>
      <c r="K59" s="100"/>
      <c r="L59" s="96">
        <v>2017</v>
      </c>
      <c r="M59" s="96">
        <v>2018</v>
      </c>
      <c r="N59" s="96">
        <v>2019</v>
      </c>
      <c r="O59" s="96">
        <v>2020</v>
      </c>
      <c r="P59" s="96">
        <v>2021</v>
      </c>
      <c r="Q59" s="96">
        <v>2022</v>
      </c>
      <c r="R59" s="96">
        <v>2023</v>
      </c>
      <c r="S59" s="96">
        <v>2024</v>
      </c>
      <c r="T59" s="96">
        <v>2025</v>
      </c>
      <c r="U59" s="96">
        <v>2026</v>
      </c>
      <c r="V59" s="96">
        <v>2027</v>
      </c>
      <c r="W59" s="96">
        <v>2028</v>
      </c>
      <c r="X59" s="96">
        <v>2029</v>
      </c>
      <c r="Y59" s="96">
        <v>2030</v>
      </c>
    </row>
    <row r="60" spans="2:25" x14ac:dyDescent="0.35">
      <c r="B60" s="99" t="s">
        <v>94</v>
      </c>
      <c r="C60" s="99"/>
      <c r="D60" s="99"/>
      <c r="E60" s="99"/>
      <c r="F60" s="100"/>
      <c r="G60" s="100"/>
      <c r="H60" s="100"/>
      <c r="I60" s="100"/>
      <c r="J60" s="100"/>
      <c r="K60" s="100"/>
      <c r="L60" s="100"/>
      <c r="M60" s="100"/>
      <c r="N60" s="100">
        <v>0.15</v>
      </c>
      <c r="O60" s="34"/>
      <c r="P60" s="100"/>
      <c r="Q60" s="100"/>
      <c r="R60" s="100"/>
      <c r="S60" s="100"/>
      <c r="T60" s="100"/>
      <c r="U60" s="100"/>
      <c r="V60" s="100"/>
      <c r="W60" s="100"/>
      <c r="X60" s="100"/>
      <c r="Y60" s="100"/>
    </row>
    <row r="61" spans="2:25" x14ac:dyDescent="0.35">
      <c r="B61" s="99" t="s">
        <v>92</v>
      </c>
      <c r="C61" s="99"/>
      <c r="D61" s="99"/>
      <c r="E61" s="99"/>
      <c r="F61" s="100"/>
      <c r="G61" s="100"/>
      <c r="H61" s="100"/>
      <c r="I61" s="100"/>
      <c r="J61" s="100"/>
      <c r="K61" s="100"/>
      <c r="L61" s="100"/>
      <c r="M61" s="100"/>
      <c r="N61" s="100"/>
      <c r="O61" s="100">
        <v>0.85</v>
      </c>
      <c r="P61" s="100">
        <f>O61-$N$24</f>
        <v>0.76200000000000001</v>
      </c>
      <c r="Q61" s="100">
        <f>P61-$N60</f>
        <v>0.61199999999999999</v>
      </c>
      <c r="R61" s="100">
        <f>Q61-$N60</f>
        <v>0.46199999999999997</v>
      </c>
      <c r="S61" s="100">
        <f>R61-$N60</f>
        <v>0.31199999999999994</v>
      </c>
      <c r="T61" s="100">
        <f>S61-$N60</f>
        <v>0.16199999999999995</v>
      </c>
      <c r="U61" s="100"/>
      <c r="V61" s="100"/>
      <c r="W61" s="100"/>
      <c r="X61" s="100"/>
      <c r="Y61" s="100"/>
    </row>
    <row r="62" spans="2:25" x14ac:dyDescent="0.35">
      <c r="B62" s="99" t="s">
        <v>198</v>
      </c>
      <c r="C62" s="100"/>
      <c r="D62" s="100"/>
      <c r="E62" s="100"/>
      <c r="F62" s="100"/>
      <c r="G62" s="100"/>
      <c r="H62" s="100"/>
      <c r="I62" s="100"/>
      <c r="J62" s="100"/>
      <c r="K62" s="100"/>
      <c r="L62" s="105">
        <v>13</v>
      </c>
      <c r="M62" s="105">
        <v>6</v>
      </c>
      <c r="N62" s="124">
        <v>9</v>
      </c>
      <c r="O62" s="167">
        <f>N62*O61</f>
        <v>7.6499999999999995</v>
      </c>
      <c r="P62" s="167">
        <f>O62*O61</f>
        <v>6.5024999999999995</v>
      </c>
      <c r="Q62" s="167">
        <f>P62*P61</f>
        <v>4.9549050000000001</v>
      </c>
      <c r="R62" s="167">
        <f t="shared" ref="R62:Y62" si="10">Q62*Q61</f>
        <v>3.0324018600000002</v>
      </c>
      <c r="S62" s="167">
        <f t="shared" si="10"/>
        <v>1.4009696593200001</v>
      </c>
      <c r="T62" s="167">
        <f t="shared" si="10"/>
        <v>0.43710253370783991</v>
      </c>
      <c r="U62" s="167">
        <f t="shared" si="10"/>
        <v>7.081061046067004E-2</v>
      </c>
      <c r="V62" s="167">
        <f t="shared" si="10"/>
        <v>0</v>
      </c>
      <c r="W62" s="167">
        <f t="shared" si="10"/>
        <v>0</v>
      </c>
      <c r="X62" s="167">
        <f t="shared" si="10"/>
        <v>0</v>
      </c>
      <c r="Y62" s="167">
        <f t="shared" si="10"/>
        <v>0</v>
      </c>
    </row>
    <row r="63" spans="2:25" x14ac:dyDescent="0.35">
      <c r="B63" s="99" t="s">
        <v>197</v>
      </c>
      <c r="O63" s="178">
        <f t="shared" ref="O63:T63" si="11">O62/(O8*10)</f>
        <v>4.0157480314960629E-2</v>
      </c>
      <c r="P63" s="178">
        <f t="shared" si="11"/>
        <v>3.3569953536396482E-2</v>
      </c>
      <c r="Q63" s="178">
        <f t="shared" si="11"/>
        <v>2.5164575926866429E-2</v>
      </c>
      <c r="R63" s="178">
        <f t="shared" si="11"/>
        <v>1.5139300349475786E-2</v>
      </c>
      <c r="S63" s="178">
        <f t="shared" si="11"/>
        <v>6.8930292317510725E-3</v>
      </c>
      <c r="T63" s="178">
        <f t="shared" si="11"/>
        <v>2.1194689270782833E-3</v>
      </c>
    </row>
  </sheetData>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198"/>
  <sheetViews>
    <sheetView zoomScaleNormal="100" workbookViewId="0">
      <selection activeCell="A185" sqref="A185:XFD197"/>
    </sheetView>
  </sheetViews>
  <sheetFormatPr defaultColWidth="8.83203125" defaultRowHeight="15.5" x14ac:dyDescent="0.35"/>
  <cols>
    <col min="1" max="1" width="40.83203125" customWidth="1"/>
    <col min="2" max="4" width="13.58203125" customWidth="1"/>
    <col min="5" max="5" width="15" customWidth="1"/>
    <col min="6" max="8" width="12.5" customWidth="1"/>
    <col min="9" max="9" width="16.25" customWidth="1"/>
    <col min="10" max="10" width="11.5" customWidth="1"/>
    <col min="11" max="11" width="11.08203125" customWidth="1"/>
    <col min="12" max="13" width="11.5" customWidth="1"/>
    <col min="14" max="14" width="11.83203125" customWidth="1"/>
    <col min="15" max="15" width="10.08203125" customWidth="1"/>
    <col min="16" max="16" width="11" customWidth="1"/>
    <col min="17" max="17" width="10.5" customWidth="1"/>
    <col min="18" max="18" width="9.58203125" customWidth="1"/>
    <col min="19" max="19" width="12.5" bestFit="1" customWidth="1"/>
    <col min="20" max="20" width="9.58203125" customWidth="1"/>
    <col min="21" max="21" width="13.5" customWidth="1"/>
    <col min="22" max="22" width="10" customWidth="1"/>
    <col min="24" max="24" width="12.5" bestFit="1" customWidth="1"/>
    <col min="25" max="25" width="9.83203125" customWidth="1"/>
    <col min="26" max="26" width="8.83203125" customWidth="1"/>
  </cols>
  <sheetData>
    <row r="2" spans="1:8" x14ac:dyDescent="0.35">
      <c r="A2" s="36" t="s">
        <v>16</v>
      </c>
      <c r="B2" s="36"/>
      <c r="C2" s="36"/>
      <c r="D2" s="36"/>
      <c r="E2" s="36"/>
      <c r="F2" s="36"/>
      <c r="G2" s="36"/>
      <c r="H2" s="36"/>
    </row>
    <row r="4" spans="1:8" x14ac:dyDescent="0.35">
      <c r="A4" s="5" t="s">
        <v>17</v>
      </c>
      <c r="B4" s="37">
        <v>0.86</v>
      </c>
    </row>
    <row r="5" spans="1:8" x14ac:dyDescent="0.35">
      <c r="A5" s="5" t="s">
        <v>18</v>
      </c>
      <c r="B5" s="37">
        <v>0.02</v>
      </c>
    </row>
    <row r="6" spans="1:8" x14ac:dyDescent="0.35">
      <c r="A6" s="62" t="s">
        <v>19</v>
      </c>
      <c r="B6" s="37">
        <v>0.8</v>
      </c>
    </row>
    <row r="7" spans="1:8" x14ac:dyDescent="0.35">
      <c r="A7" s="62" t="s">
        <v>68</v>
      </c>
      <c r="B7" s="37">
        <v>2.5999999999999999E-2</v>
      </c>
    </row>
    <row r="8" spans="1:8" x14ac:dyDescent="0.35">
      <c r="A8" s="107"/>
    </row>
    <row r="9" spans="1:8" ht="34" customHeight="1" x14ac:dyDescent="0.35">
      <c r="A9" s="34"/>
      <c r="B9" s="363" t="s">
        <v>99</v>
      </c>
      <c r="C9" s="363"/>
      <c r="D9" s="363"/>
      <c r="E9" s="363"/>
      <c r="F9" s="363"/>
      <c r="G9" s="363"/>
      <c r="H9" s="363"/>
    </row>
    <row r="10" spans="1:8" x14ac:dyDescent="0.35">
      <c r="A10" s="39" t="s">
        <v>20</v>
      </c>
      <c r="B10" s="23">
        <v>2019</v>
      </c>
      <c r="C10" s="23">
        <v>2020</v>
      </c>
      <c r="D10" s="23">
        <v>2021</v>
      </c>
      <c r="E10" s="23">
        <v>2022</v>
      </c>
      <c r="F10" s="23">
        <v>2023</v>
      </c>
      <c r="G10" s="23">
        <v>2024</v>
      </c>
      <c r="H10" s="23">
        <v>2025</v>
      </c>
    </row>
    <row r="11" spans="1:8" x14ac:dyDescent="0.35">
      <c r="A11" s="40" t="s">
        <v>21</v>
      </c>
      <c r="B11" s="112">
        <f>API!N4</f>
        <v>17225</v>
      </c>
      <c r="C11" s="112">
        <f>API!O4</f>
        <v>14627.55</v>
      </c>
      <c r="D11" s="128">
        <f>API!P4</f>
        <v>12432.057499999999</v>
      </c>
      <c r="E11" s="12">
        <f>API!Q4</f>
        <v>9403.3288299999986</v>
      </c>
      <c r="F11" s="12">
        <f>API!R4</f>
        <v>6248.3729306199994</v>
      </c>
      <c r="G11" s="12">
        <f>API!S4</f>
        <v>3603.8379353273203</v>
      </c>
      <c r="H11" s="12">
        <f>API!T4</f>
        <v>1777.4365528944461</v>
      </c>
    </row>
    <row r="12" spans="1:8" x14ac:dyDescent="0.35">
      <c r="A12" s="39" t="s">
        <v>22</v>
      </c>
      <c r="B12" s="41">
        <f t="shared" ref="B12:H12" si="0">B11*($B$4+$B$5)</f>
        <v>15158</v>
      </c>
      <c r="C12" s="41">
        <f t="shared" si="0"/>
        <v>12872.243999999999</v>
      </c>
      <c r="D12" s="41">
        <f t="shared" si="0"/>
        <v>10940.210599999999</v>
      </c>
      <c r="E12" s="41">
        <f t="shared" si="0"/>
        <v>8274.9293703999992</v>
      </c>
      <c r="F12" s="41">
        <f t="shared" si="0"/>
        <v>5498.5681789455994</v>
      </c>
      <c r="G12" s="41">
        <f t="shared" si="0"/>
        <v>3171.3773830880418</v>
      </c>
      <c r="H12" s="41">
        <f t="shared" si="0"/>
        <v>1564.1441665471125</v>
      </c>
    </row>
    <row r="13" spans="1:8" x14ac:dyDescent="0.35">
      <c r="A13" s="39" t="s">
        <v>23</v>
      </c>
      <c r="B13" s="41">
        <f t="shared" ref="B13:H13" si="1">B11*+(1-($B$4+$B$5))</f>
        <v>2067</v>
      </c>
      <c r="C13" s="41">
        <f t="shared" si="1"/>
        <v>1755.3059999999998</v>
      </c>
      <c r="D13" s="41">
        <f t="shared" si="1"/>
        <v>1491.8468999999998</v>
      </c>
      <c r="E13" s="41">
        <f t="shared" si="1"/>
        <v>1128.3994595999998</v>
      </c>
      <c r="F13" s="41">
        <f t="shared" si="1"/>
        <v>749.80475167439988</v>
      </c>
      <c r="G13" s="41">
        <f t="shared" si="1"/>
        <v>432.4605522392784</v>
      </c>
      <c r="H13" s="41">
        <f t="shared" si="1"/>
        <v>213.29238634733352</v>
      </c>
    </row>
    <row r="14" spans="1:8" x14ac:dyDescent="0.35">
      <c r="A14" s="135"/>
      <c r="B14" s="136"/>
      <c r="C14" s="136"/>
      <c r="D14" s="136"/>
      <c r="E14" s="136"/>
    </row>
    <row r="15" spans="1:8" x14ac:dyDescent="0.35">
      <c r="A15" s="39" t="s">
        <v>20</v>
      </c>
      <c r="B15" s="23">
        <v>2019</v>
      </c>
      <c r="C15" s="23">
        <v>2020</v>
      </c>
      <c r="D15" s="23">
        <v>2021</v>
      </c>
      <c r="E15" s="23">
        <v>2022</v>
      </c>
      <c r="F15" s="23">
        <v>2023</v>
      </c>
      <c r="G15" s="23">
        <v>2024</v>
      </c>
      <c r="H15" s="23">
        <v>2025</v>
      </c>
    </row>
    <row r="16" spans="1:8" x14ac:dyDescent="0.35">
      <c r="A16" s="135" t="s">
        <v>157</v>
      </c>
      <c r="B16" s="137">
        <f t="shared" ref="B16:H16" si="2">B11*(1-$B$6)</f>
        <v>3444.9999999999991</v>
      </c>
      <c r="C16" s="137">
        <f t="shared" si="2"/>
        <v>2925.5099999999993</v>
      </c>
      <c r="D16" s="41">
        <f t="shared" si="2"/>
        <v>2486.4114999999993</v>
      </c>
      <c r="E16" s="41">
        <f t="shared" si="2"/>
        <v>1880.6657659999994</v>
      </c>
      <c r="F16" s="41">
        <f t="shared" si="2"/>
        <v>1249.6745861239997</v>
      </c>
      <c r="G16" s="41">
        <f t="shared" si="2"/>
        <v>720.76758706546389</v>
      </c>
      <c r="H16" s="41">
        <f t="shared" si="2"/>
        <v>355.48731057888915</v>
      </c>
    </row>
    <row r="17" spans="1:8" x14ac:dyDescent="0.35">
      <c r="A17" s="135" t="s">
        <v>158</v>
      </c>
      <c r="B17" s="137">
        <f t="shared" ref="B17:H17" si="3">B11*$B$6</f>
        <v>13780</v>
      </c>
      <c r="C17" s="137">
        <f t="shared" si="3"/>
        <v>11702.04</v>
      </c>
      <c r="D17" s="41">
        <f t="shared" si="3"/>
        <v>9945.6460000000006</v>
      </c>
      <c r="E17" s="41">
        <f t="shared" si="3"/>
        <v>7522.6630639999994</v>
      </c>
      <c r="F17" s="41">
        <f t="shared" si="3"/>
        <v>4998.6983444959997</v>
      </c>
      <c r="G17" s="41">
        <f t="shared" si="3"/>
        <v>2883.0703482618565</v>
      </c>
      <c r="H17" s="41">
        <f t="shared" si="3"/>
        <v>1421.9492423155571</v>
      </c>
    </row>
    <row r="18" spans="1:8" x14ac:dyDescent="0.35">
      <c r="A18" s="135" t="s">
        <v>283</v>
      </c>
      <c r="B18" s="253"/>
      <c r="C18" s="253"/>
      <c r="D18" s="136">
        <f t="shared" ref="D18:F19" si="4">D16*0.12</f>
        <v>298.36937999999992</v>
      </c>
      <c r="E18" s="136">
        <f t="shared" si="4"/>
        <v>225.67989191999993</v>
      </c>
      <c r="F18" s="136">
        <f t="shared" si="4"/>
        <v>149.96095033487995</v>
      </c>
      <c r="G18" s="136"/>
      <c r="H18" s="136"/>
    </row>
    <row r="19" spans="1:8" x14ac:dyDescent="0.35">
      <c r="A19" s="135" t="s">
        <v>284</v>
      </c>
      <c r="B19" s="253"/>
      <c r="C19" s="253"/>
      <c r="D19" s="136">
        <f t="shared" si="4"/>
        <v>1193.4775200000001</v>
      </c>
      <c r="E19" s="136">
        <f t="shared" si="4"/>
        <v>902.71956767999984</v>
      </c>
      <c r="F19" s="136">
        <f t="shared" si="4"/>
        <v>599.84380133951993</v>
      </c>
      <c r="G19" s="136"/>
      <c r="H19" s="136"/>
    </row>
    <row r="20" spans="1:8" x14ac:dyDescent="0.35">
      <c r="A20" s="135" t="s">
        <v>285</v>
      </c>
      <c r="B20" s="253"/>
      <c r="C20" s="253"/>
      <c r="D20" s="136">
        <f t="shared" ref="D20:F21" si="5">D16-D18</f>
        <v>2188.0421199999992</v>
      </c>
      <c r="E20" s="136">
        <f t="shared" si="5"/>
        <v>1654.9858740799996</v>
      </c>
      <c r="F20" s="136">
        <f t="shared" si="5"/>
        <v>1099.7136357891197</v>
      </c>
      <c r="G20" s="136"/>
      <c r="H20" s="136"/>
    </row>
    <row r="21" spans="1:8" x14ac:dyDescent="0.35">
      <c r="A21" s="135" t="s">
        <v>286</v>
      </c>
      <c r="B21" s="253"/>
      <c r="C21" s="253"/>
      <c r="D21" s="136">
        <f t="shared" si="5"/>
        <v>8752.1684800000003</v>
      </c>
      <c r="E21" s="136">
        <f t="shared" si="5"/>
        <v>6619.9434963199992</v>
      </c>
      <c r="F21" s="136">
        <f t="shared" si="5"/>
        <v>4398.8545431564798</v>
      </c>
      <c r="G21" s="136"/>
      <c r="H21" s="136"/>
    </row>
    <row r="23" spans="1:8" x14ac:dyDescent="0.35">
      <c r="A23" s="6" t="s">
        <v>187</v>
      </c>
    </row>
    <row r="24" spans="1:8" x14ac:dyDescent="0.35">
      <c r="A24" s="34"/>
      <c r="B24" s="175" t="s">
        <v>24</v>
      </c>
      <c r="C24" s="175" t="s">
        <v>25</v>
      </c>
    </row>
    <row r="25" spans="1:8" x14ac:dyDescent="0.35">
      <c r="A25" s="5" t="s">
        <v>26</v>
      </c>
      <c r="B25" s="173">
        <v>6.1087354917532073E-4</v>
      </c>
      <c r="C25" s="174">
        <v>1.0464355788096796E-2</v>
      </c>
    </row>
    <row r="26" spans="1:8" x14ac:dyDescent="0.35">
      <c r="A26" s="5" t="s">
        <v>27</v>
      </c>
      <c r="B26" s="174">
        <v>3.7874160048869884E-2</v>
      </c>
      <c r="C26" s="174">
        <v>7.3904512753433613E-2</v>
      </c>
    </row>
    <row r="27" spans="1:8" x14ac:dyDescent="0.35">
      <c r="A27" s="5" t="s">
        <v>28</v>
      </c>
      <c r="B27" s="174">
        <v>9.6867091369229427E-2</v>
      </c>
      <c r="C27" s="174">
        <v>0.15892740353172008</v>
      </c>
    </row>
    <row r="28" spans="1:8" x14ac:dyDescent="0.35">
      <c r="A28" s="5" t="s">
        <v>29</v>
      </c>
      <c r="B28" s="174">
        <v>0.1240945981324723</v>
      </c>
      <c r="C28" s="174">
        <v>0.13342053629823414</v>
      </c>
    </row>
    <row r="29" spans="1:8" x14ac:dyDescent="0.35">
      <c r="A29" s="5" t="s">
        <v>30</v>
      </c>
      <c r="B29" s="174">
        <v>0.74055327690025308</v>
      </c>
      <c r="C29" s="174">
        <v>0.62328319162851542</v>
      </c>
    </row>
    <row r="31" spans="1:8" x14ac:dyDescent="0.35">
      <c r="A31" s="6" t="s">
        <v>31</v>
      </c>
    </row>
    <row r="32" spans="1:8" x14ac:dyDescent="0.35">
      <c r="A32" s="14"/>
      <c r="B32" s="23">
        <v>2019</v>
      </c>
      <c r="C32" s="23">
        <v>2020</v>
      </c>
      <c r="D32" s="23">
        <v>2021</v>
      </c>
      <c r="E32" s="23">
        <v>2022</v>
      </c>
      <c r="F32" s="23">
        <v>2023</v>
      </c>
      <c r="G32" s="23">
        <v>2024</v>
      </c>
      <c r="H32" s="23">
        <v>2025</v>
      </c>
    </row>
    <row r="33" spans="1:27" x14ac:dyDescent="0.35">
      <c r="A33" s="3" t="s">
        <v>27</v>
      </c>
      <c r="B33" s="43">
        <f t="shared" ref="B33:H33" si="6">B$12*$B$26</f>
        <v>574.09651802076974</v>
      </c>
      <c r="C33" s="43">
        <f t="shared" si="6"/>
        <v>487.52542944410504</v>
      </c>
      <c r="D33" s="43">
        <f t="shared" si="6"/>
        <v>414.35128723274278</v>
      </c>
      <c r="E33" s="43">
        <f t="shared" si="6"/>
        <v>313.40599936762368</v>
      </c>
      <c r="F33" s="43">
        <f t="shared" si="6"/>
        <v>208.25365124900864</v>
      </c>
      <c r="G33" s="43">
        <f t="shared" si="6"/>
        <v>120.11325458244264</v>
      </c>
      <c r="H33" s="43">
        <f t="shared" si="6"/>
        <v>59.240646503311531</v>
      </c>
    </row>
    <row r="34" spans="1:27" x14ac:dyDescent="0.35">
      <c r="A34" s="3" t="s">
        <v>28</v>
      </c>
      <c r="B34" s="43">
        <f t="shared" ref="B34:H34" si="7">B$12*$B$27</f>
        <v>1468.3113709747797</v>
      </c>
      <c r="C34" s="43">
        <f t="shared" si="7"/>
        <v>1246.8968356750152</v>
      </c>
      <c r="D34" s="43">
        <f t="shared" si="7"/>
        <v>1059.7463797888122</v>
      </c>
      <c r="E34" s="43">
        <f t="shared" si="7"/>
        <v>801.56833939645685</v>
      </c>
      <c r="F34" s="43">
        <f t="shared" si="7"/>
        <v>532.63030618986079</v>
      </c>
      <c r="G34" s="43">
        <f t="shared" si="7"/>
        <v>307.20210273389705</v>
      </c>
      <c r="H34" s="43">
        <f t="shared" si="7"/>
        <v>151.51409589556636</v>
      </c>
    </row>
    <row r="35" spans="1:27" x14ac:dyDescent="0.35">
      <c r="A35" s="3" t="s">
        <v>32</v>
      </c>
      <c r="B35" s="43">
        <f t="shared" ref="B35:H35" si="8">B$12*$B$28</f>
        <v>1881.0259184920151</v>
      </c>
      <c r="C35" s="43">
        <f t="shared" si="8"/>
        <v>1597.3759462431276</v>
      </c>
      <c r="D35" s="43">
        <f t="shared" si="8"/>
        <v>1357.6210378916135</v>
      </c>
      <c r="E35" s="43">
        <f t="shared" si="8"/>
        <v>1026.8740347943799</v>
      </c>
      <c r="F35" s="43">
        <f t="shared" si="8"/>
        <v>682.34260847025416</v>
      </c>
      <c r="G35" s="43">
        <f t="shared" si="8"/>
        <v>393.55080188072219</v>
      </c>
      <c r="H35" s="43">
        <f t="shared" si="8"/>
        <v>194.10184176891474</v>
      </c>
      <c r="U35" s="29"/>
      <c r="V35" s="29"/>
      <c r="W35" s="29"/>
      <c r="X35" s="29"/>
      <c r="Y35" s="29"/>
      <c r="Z35" s="29"/>
      <c r="AA35" s="29"/>
    </row>
    <row r="36" spans="1:27" x14ac:dyDescent="0.35">
      <c r="A36" s="3" t="s">
        <v>30</v>
      </c>
      <c r="B36" s="43">
        <f t="shared" ref="B36:H36" si="9">B$12*$B$29</f>
        <v>11225.306571254036</v>
      </c>
      <c r="C36" s="43">
        <f t="shared" si="9"/>
        <v>9532.58247525962</v>
      </c>
      <c r="D36" s="43">
        <f t="shared" si="9"/>
        <v>8101.8088098088829</v>
      </c>
      <c r="E36" s="43">
        <f t="shared" si="9"/>
        <v>6128.0260613678674</v>
      </c>
      <c r="F36" s="43">
        <f t="shared" si="9"/>
        <v>4071.9826831776209</v>
      </c>
      <c r="G36" s="43">
        <f t="shared" si="9"/>
        <v>2348.5739133331986</v>
      </c>
      <c r="H36" s="43">
        <f t="shared" si="9"/>
        <v>1158.3320880808794</v>
      </c>
    </row>
    <row r="38" spans="1:27" x14ac:dyDescent="0.35">
      <c r="A38" s="6" t="s">
        <v>33</v>
      </c>
    </row>
    <row r="39" spans="1:27" x14ac:dyDescent="0.35">
      <c r="A39" s="44"/>
      <c r="B39" s="23">
        <v>2019</v>
      </c>
      <c r="C39" s="23">
        <v>2020</v>
      </c>
      <c r="D39" s="23">
        <v>2021</v>
      </c>
      <c r="E39" s="23">
        <v>2022</v>
      </c>
      <c r="F39" s="23">
        <v>2023</v>
      </c>
      <c r="G39" s="23">
        <v>2024</v>
      </c>
      <c r="H39" s="23">
        <v>2025</v>
      </c>
    </row>
    <row r="40" spans="1:27" x14ac:dyDescent="0.35">
      <c r="A40" s="3" t="s">
        <v>26</v>
      </c>
      <c r="B40" s="9">
        <f t="shared" ref="B40:H40" si="10">B$13*$C$25</f>
        <v>21.629823413996078</v>
      </c>
      <c r="C40" s="9">
        <f t="shared" si="10"/>
        <v>18.368146500981034</v>
      </c>
      <c r="D40" s="9">
        <f t="shared" si="10"/>
        <v>15.61121674296926</v>
      </c>
      <c r="E40" s="9">
        <f t="shared" si="10"/>
        <v>11.807973416350555</v>
      </c>
      <c r="F40" s="9">
        <f t="shared" si="10"/>
        <v>7.846223693126487</v>
      </c>
      <c r="G40" s="9">
        <f t="shared" si="10"/>
        <v>4.5254210829486299</v>
      </c>
      <c r="H40" s="9">
        <f t="shared" si="10"/>
        <v>2.2319674176306976</v>
      </c>
    </row>
    <row r="41" spans="1:27" x14ac:dyDescent="0.35">
      <c r="A41" s="3" t="s">
        <v>27</v>
      </c>
      <c r="B41" s="9">
        <f t="shared" ref="B41:H41" si="11">B$13*$C$26</f>
        <v>152.76062786134727</v>
      </c>
      <c r="C41" s="9">
        <f t="shared" si="11"/>
        <v>129.72503466317852</v>
      </c>
      <c r="D41" s="9">
        <f t="shared" si="11"/>
        <v>110.25421824722038</v>
      </c>
      <c r="E41" s="9">
        <f t="shared" si="11"/>
        <v>83.393812252975778</v>
      </c>
      <c r="F41" s="9">
        <f t="shared" si="11"/>
        <v>55.413954832705812</v>
      </c>
      <c r="G41" s="9">
        <f t="shared" si="11"/>
        <v>31.960786398324693</v>
      </c>
      <c r="H41" s="9">
        <f t="shared" si="11"/>
        <v>15.763269887016799</v>
      </c>
    </row>
    <row r="42" spans="1:27" x14ac:dyDescent="0.35">
      <c r="A42" s="3" t="s">
        <v>28</v>
      </c>
      <c r="B42" s="9">
        <f t="shared" ref="B42:H42" si="12">B$13*$C$27</f>
        <v>328.50294310006541</v>
      </c>
      <c r="C42" s="9">
        <f t="shared" si="12"/>
        <v>278.9662249836494</v>
      </c>
      <c r="D42" s="9">
        <f t="shared" si="12"/>
        <v>237.09535428384561</v>
      </c>
      <c r="E42" s="9">
        <f t="shared" si="12"/>
        <v>179.33359626082404</v>
      </c>
      <c r="F42" s="9">
        <f t="shared" si="12"/>
        <v>119.16452233935851</v>
      </c>
      <c r="G42" s="9">
        <f t="shared" si="12"/>
        <v>68.729832697282305</v>
      </c>
      <c r="H42" s="9">
        <f t="shared" si="12"/>
        <v>33.898005155266219</v>
      </c>
    </row>
    <row r="43" spans="1:27" x14ac:dyDescent="0.35">
      <c r="A43" s="3" t="s">
        <v>29</v>
      </c>
      <c r="B43" s="9">
        <f t="shared" ref="B43:H43" si="13">B$13*$C$28</f>
        <v>275.78024852844999</v>
      </c>
      <c r="C43" s="9">
        <f t="shared" si="13"/>
        <v>234.19386788750813</v>
      </c>
      <c r="D43" s="9">
        <f t="shared" si="13"/>
        <v>199.04301347285804</v>
      </c>
      <c r="E43" s="9">
        <f t="shared" si="13"/>
        <v>150.55166105846956</v>
      </c>
      <c r="F43" s="9">
        <f t="shared" si="13"/>
        <v>100.0393520873627</v>
      </c>
      <c r="G43" s="9">
        <f t="shared" si="13"/>
        <v>57.699118807595028</v>
      </c>
      <c r="H43" s="9">
        <f t="shared" si="13"/>
        <v>28.45758457479139</v>
      </c>
    </row>
    <row r="44" spans="1:27" x14ac:dyDescent="0.35">
      <c r="A44" s="3" t="s">
        <v>30</v>
      </c>
      <c r="B44" s="9">
        <f t="shared" ref="B44:H44" si="14">B$13*$C$29</f>
        <v>1288.3263570961415</v>
      </c>
      <c r="C44" s="9">
        <f t="shared" si="14"/>
        <v>1094.0527259646828</v>
      </c>
      <c r="D44" s="9">
        <f t="shared" si="14"/>
        <v>929.84309725310652</v>
      </c>
      <c r="E44" s="9">
        <f t="shared" si="14"/>
        <v>703.31241661137994</v>
      </c>
      <c r="F44" s="9">
        <f t="shared" si="14"/>
        <v>467.34069872184642</v>
      </c>
      <c r="G44" s="9">
        <f t="shared" si="14"/>
        <v>269.54539325312777</v>
      </c>
      <c r="H44" s="9">
        <f t="shared" si="14"/>
        <v>132.94155931262841</v>
      </c>
    </row>
    <row r="46" spans="1:27" x14ac:dyDescent="0.35">
      <c r="A46" s="6" t="s">
        <v>34</v>
      </c>
    </row>
    <row r="47" spans="1:27" x14ac:dyDescent="0.35">
      <c r="A47" s="44"/>
      <c r="B47" s="23">
        <v>2019</v>
      </c>
      <c r="C47" s="23">
        <v>2020</v>
      </c>
      <c r="D47" s="23">
        <v>2021</v>
      </c>
      <c r="E47" s="23">
        <v>2022</v>
      </c>
      <c r="F47" s="23">
        <v>2023</v>
      </c>
      <c r="G47" s="23">
        <v>2024</v>
      </c>
      <c r="H47" s="23">
        <v>2025</v>
      </c>
    </row>
    <row r="48" spans="1:27" x14ac:dyDescent="0.35">
      <c r="A48" s="3" t="s">
        <v>26</v>
      </c>
      <c r="B48" s="9">
        <f t="shared" ref="B48:H52" si="15">B40+(B$11*$B$5*$C25)</f>
        <v>25.234793982995424</v>
      </c>
      <c r="C48" s="9">
        <f t="shared" si="15"/>
        <v>21.429504251144539</v>
      </c>
      <c r="D48" s="9">
        <f t="shared" si="15"/>
        <v>18.213086200130803</v>
      </c>
      <c r="E48" s="9">
        <f t="shared" si="15"/>
        <v>13.775968985742313</v>
      </c>
      <c r="F48" s="9">
        <f t="shared" si="15"/>
        <v>9.1539276419809017</v>
      </c>
      <c r="G48" s="9">
        <f t="shared" si="15"/>
        <v>5.279657930106735</v>
      </c>
      <c r="H48" s="9">
        <f t="shared" si="15"/>
        <v>2.603961987235814</v>
      </c>
    </row>
    <row r="49" spans="1:8" x14ac:dyDescent="0.35">
      <c r="A49" s="3" t="s">
        <v>27</v>
      </c>
      <c r="B49" s="9">
        <f t="shared" si="15"/>
        <v>178.22073250490516</v>
      </c>
      <c r="C49" s="9">
        <f t="shared" si="15"/>
        <v>151.34587377370826</v>
      </c>
      <c r="D49" s="9">
        <f t="shared" si="15"/>
        <v>128.62992128842379</v>
      </c>
      <c r="E49" s="9">
        <f t="shared" si="15"/>
        <v>97.292780961805079</v>
      </c>
      <c r="F49" s="9">
        <f t="shared" si="15"/>
        <v>64.649613971490112</v>
      </c>
      <c r="G49" s="9">
        <f t="shared" si="15"/>
        <v>37.287584131378807</v>
      </c>
      <c r="H49" s="9">
        <f t="shared" si="15"/>
        <v>18.390481534852931</v>
      </c>
    </row>
    <row r="50" spans="1:8" x14ac:dyDescent="0.35">
      <c r="A50" s="3" t="s">
        <v>28</v>
      </c>
      <c r="B50" s="9">
        <f t="shared" si="15"/>
        <v>383.253433616743</v>
      </c>
      <c r="C50" s="9">
        <f t="shared" si="15"/>
        <v>325.46059581425766</v>
      </c>
      <c r="D50" s="9">
        <f t="shared" si="15"/>
        <v>276.61124666448654</v>
      </c>
      <c r="E50" s="9">
        <f t="shared" si="15"/>
        <v>209.22252897096138</v>
      </c>
      <c r="F50" s="9">
        <f t="shared" si="15"/>
        <v>139.02527606258494</v>
      </c>
      <c r="G50" s="9">
        <f t="shared" si="15"/>
        <v>80.184804813496029</v>
      </c>
      <c r="H50" s="9">
        <f t="shared" si="15"/>
        <v>39.547672681143922</v>
      </c>
    </row>
    <row r="51" spans="1:8" x14ac:dyDescent="0.35">
      <c r="A51" s="3" t="s">
        <v>29</v>
      </c>
      <c r="B51" s="9">
        <f t="shared" si="15"/>
        <v>321.74362328319165</v>
      </c>
      <c r="C51" s="9">
        <f t="shared" si="15"/>
        <v>273.22617920209285</v>
      </c>
      <c r="D51" s="9">
        <f t="shared" si="15"/>
        <v>232.21684905166771</v>
      </c>
      <c r="E51" s="9">
        <f t="shared" si="15"/>
        <v>175.6436045682145</v>
      </c>
      <c r="F51" s="9">
        <f t="shared" si="15"/>
        <v>116.71257743525649</v>
      </c>
      <c r="G51" s="9">
        <f t="shared" si="15"/>
        <v>67.315638608860866</v>
      </c>
      <c r="H51" s="9">
        <f t="shared" si="15"/>
        <v>33.200515337256626</v>
      </c>
    </row>
    <row r="52" spans="1:8" x14ac:dyDescent="0.35">
      <c r="A52" s="3" t="s">
        <v>30</v>
      </c>
      <c r="B52" s="9">
        <f t="shared" si="15"/>
        <v>1503.0474166121651</v>
      </c>
      <c r="C52" s="9">
        <f t="shared" si="15"/>
        <v>1276.3948469587967</v>
      </c>
      <c r="D52" s="9">
        <f t="shared" si="15"/>
        <v>1084.816946795291</v>
      </c>
      <c r="E52" s="9">
        <f t="shared" si="15"/>
        <v>820.53115271327658</v>
      </c>
      <c r="F52" s="9">
        <f t="shared" si="15"/>
        <v>545.23081517548746</v>
      </c>
      <c r="G52" s="9">
        <f t="shared" si="15"/>
        <v>314.46962546198239</v>
      </c>
      <c r="H52" s="9">
        <f t="shared" si="15"/>
        <v>155.09848586473316</v>
      </c>
    </row>
    <row r="54" spans="1:8" x14ac:dyDescent="0.35">
      <c r="A54" s="6" t="s">
        <v>35</v>
      </c>
    </row>
    <row r="55" spans="1:8" x14ac:dyDescent="0.35">
      <c r="B55" s="23">
        <v>2019</v>
      </c>
      <c r="C55" s="23">
        <v>2020</v>
      </c>
      <c r="D55" s="23">
        <v>2021</v>
      </c>
      <c r="E55" s="23">
        <v>2022</v>
      </c>
      <c r="F55" s="23">
        <v>2023</v>
      </c>
      <c r="G55" s="23">
        <v>2024</v>
      </c>
      <c r="H55" s="23">
        <v>2025</v>
      </c>
    </row>
    <row r="56" spans="1:8" x14ac:dyDescent="0.35">
      <c r="A56" s="3" t="s">
        <v>27</v>
      </c>
      <c r="B56" s="9">
        <f t="shared" ref="B56:H59" si="16">B$11*$B$7*$B26</f>
        <v>16.961942577886376</v>
      </c>
      <c r="C56" s="9">
        <f t="shared" si="16"/>
        <v>14.404160415394012</v>
      </c>
      <c r="D56" s="9">
        <f t="shared" si="16"/>
        <v>12.242197122785582</v>
      </c>
      <c r="E56" s="9">
        <f t="shared" si="16"/>
        <v>9.25972270858888</v>
      </c>
      <c r="F56" s="9">
        <f t="shared" si="16"/>
        <v>6.1529487869025274</v>
      </c>
      <c r="G56" s="9">
        <f t="shared" si="16"/>
        <v>3.5488007035721685</v>
      </c>
      <c r="H56" s="9">
        <f t="shared" si="16"/>
        <v>1.7502918285069315</v>
      </c>
    </row>
    <row r="57" spans="1:8" x14ac:dyDescent="0.35">
      <c r="A57" s="3" t="s">
        <v>28</v>
      </c>
      <c r="B57" s="9">
        <f t="shared" si="16"/>
        <v>43.381926869709396</v>
      </c>
      <c r="C57" s="9">
        <f t="shared" si="16"/>
        <v>36.840133781307266</v>
      </c>
      <c r="D57" s="9">
        <f t="shared" si="16"/>
        <v>31.31068849376036</v>
      </c>
      <c r="E57" s="9">
        <f t="shared" si="16"/>
        <v>23.682700936713495</v>
      </c>
      <c r="F57" s="9">
        <f t="shared" si="16"/>
        <v>15.73680450106407</v>
      </c>
      <c r="G57" s="9">
        <f t="shared" si="16"/>
        <v>9.0764257625924127</v>
      </c>
      <c r="H57" s="9">
        <f t="shared" si="16"/>
        <v>4.4765528332780971</v>
      </c>
    </row>
    <row r="58" spans="1:8" x14ac:dyDescent="0.35">
      <c r="A58" s="3" t="s">
        <v>32</v>
      </c>
      <c r="B58" s="9">
        <f t="shared" si="16"/>
        <v>55.575765773627715</v>
      </c>
      <c r="C58" s="9">
        <f t="shared" si="16"/>
        <v>47.195198411728768</v>
      </c>
      <c r="D58" s="9">
        <f t="shared" si="16"/>
        <v>40.11153066497949</v>
      </c>
      <c r="E58" s="9">
        <f t="shared" si="16"/>
        <v>30.339460118924858</v>
      </c>
      <c r="F58" s="9">
        <f t="shared" si="16"/>
        <v>20.160122522984782</v>
      </c>
      <c r="G58" s="9">
        <f t="shared" si="16"/>
        <v>11.627637328294064</v>
      </c>
      <c r="H58" s="9">
        <f t="shared" si="16"/>
        <v>5.7348271431724811</v>
      </c>
    </row>
    <row r="59" spans="1:8" x14ac:dyDescent="0.35">
      <c r="A59" s="3" t="s">
        <v>30</v>
      </c>
      <c r="B59" s="9">
        <f t="shared" si="16"/>
        <v>331.65678505977831</v>
      </c>
      <c r="C59" s="9">
        <f t="shared" si="16"/>
        <v>281.6444822235797</v>
      </c>
      <c r="D59" s="9">
        <f t="shared" si="16"/>
        <v>239.37162392617154</v>
      </c>
      <c r="E59" s="9">
        <f t="shared" si="16"/>
        <v>181.05531544950514</v>
      </c>
      <c r="F59" s="9">
        <f t="shared" si="16"/>
        <v>120.30857927570243</v>
      </c>
      <c r="G59" s="9">
        <f t="shared" si="16"/>
        <v>69.389683803026315</v>
      </c>
      <c r="H59" s="9">
        <f t="shared" si="16"/>
        <v>34.223448056935069</v>
      </c>
    </row>
    <row r="61" spans="1:8" x14ac:dyDescent="0.35">
      <c r="A61" s="45" t="s">
        <v>36</v>
      </c>
    </row>
    <row r="62" spans="1:8" ht="54" x14ac:dyDescent="0.35">
      <c r="B62" s="46" t="s">
        <v>37</v>
      </c>
      <c r="C62" s="46" t="s">
        <v>38</v>
      </c>
      <c r="D62" s="47" t="s">
        <v>112</v>
      </c>
      <c r="E62" s="48" t="s">
        <v>113</v>
      </c>
      <c r="F62" s="48" t="s">
        <v>101</v>
      </c>
    </row>
    <row r="63" spans="1:8" x14ac:dyDescent="0.35">
      <c r="A63" s="3" t="s">
        <v>26</v>
      </c>
      <c r="B63" s="49">
        <v>1</v>
      </c>
      <c r="C63" s="3">
        <v>1</v>
      </c>
      <c r="D63" s="8" t="s">
        <v>39</v>
      </c>
      <c r="E63" s="8" t="s">
        <v>39</v>
      </c>
      <c r="F63" s="3">
        <v>6</v>
      </c>
    </row>
    <row r="64" spans="1:8" x14ac:dyDescent="0.35">
      <c r="A64" s="3" t="s">
        <v>27</v>
      </c>
      <c r="B64" s="3">
        <v>1</v>
      </c>
      <c r="C64" s="3">
        <v>4</v>
      </c>
      <c r="D64" s="108">
        <v>2.5000000000000001E-2</v>
      </c>
      <c r="E64" s="49">
        <v>0.35</v>
      </c>
      <c r="F64" s="5">
        <v>6</v>
      </c>
    </row>
    <row r="65" spans="1:6" x14ac:dyDescent="0.35">
      <c r="A65" s="3" t="s">
        <v>28</v>
      </c>
      <c r="B65" s="3">
        <v>1</v>
      </c>
      <c r="C65" s="3">
        <v>5</v>
      </c>
      <c r="D65" s="109">
        <v>0.05</v>
      </c>
      <c r="E65" s="3">
        <v>0.7</v>
      </c>
      <c r="F65" s="5">
        <v>12</v>
      </c>
    </row>
    <row r="66" spans="1:6" x14ac:dyDescent="0.35">
      <c r="A66" s="3" t="s">
        <v>29</v>
      </c>
      <c r="B66" s="3">
        <v>1</v>
      </c>
      <c r="C66" s="3">
        <v>7.5</v>
      </c>
      <c r="D66" s="109">
        <v>0.05</v>
      </c>
      <c r="E66" s="3">
        <v>0.7</v>
      </c>
      <c r="F66" s="5">
        <v>12</v>
      </c>
    </row>
    <row r="67" spans="1:6" x14ac:dyDescent="0.35">
      <c r="A67" s="3" t="s">
        <v>30</v>
      </c>
      <c r="B67" s="3">
        <v>1</v>
      </c>
      <c r="C67" s="3">
        <v>10</v>
      </c>
      <c r="D67" s="109">
        <v>0.1</v>
      </c>
      <c r="E67" s="3">
        <v>1.4</v>
      </c>
      <c r="F67" s="5">
        <v>15</v>
      </c>
    </row>
    <row r="68" spans="1:6" x14ac:dyDescent="0.35">
      <c r="A68" s="14"/>
      <c r="B68" s="14"/>
      <c r="C68" s="14"/>
      <c r="D68" s="15"/>
    </row>
    <row r="69" spans="1:6" x14ac:dyDescent="0.35">
      <c r="A69" s="50" t="s">
        <v>115</v>
      </c>
      <c r="B69" s="4">
        <v>1</v>
      </c>
      <c r="C69" s="14"/>
      <c r="D69" s="15"/>
    </row>
    <row r="70" spans="1:6" x14ac:dyDescent="0.35">
      <c r="A70" s="10"/>
      <c r="B70" s="14"/>
      <c r="C70" s="14"/>
      <c r="D70" s="15"/>
    </row>
    <row r="71" spans="1:6" x14ac:dyDescent="0.35">
      <c r="A71" s="51" t="s">
        <v>40</v>
      </c>
    </row>
    <row r="72" spans="1:6" ht="54" x14ac:dyDescent="0.35">
      <c r="A72" s="52" t="s">
        <v>41</v>
      </c>
      <c r="B72" s="53" t="s">
        <v>42</v>
      </c>
      <c r="C72" s="54" t="s">
        <v>43</v>
      </c>
    </row>
    <row r="73" spans="1:6" x14ac:dyDescent="0.35">
      <c r="A73" s="5" t="s">
        <v>44</v>
      </c>
      <c r="B73" s="3">
        <f>B64</f>
        <v>1</v>
      </c>
      <c r="C73" s="5">
        <v>1</v>
      </c>
    </row>
    <row r="74" spans="1:6" x14ac:dyDescent="0.35">
      <c r="A74" s="5" t="s">
        <v>45</v>
      </c>
      <c r="B74" s="3">
        <f>B65</f>
        <v>1</v>
      </c>
      <c r="C74" s="5">
        <v>1</v>
      </c>
    </row>
    <row r="75" spans="1:6" x14ac:dyDescent="0.35">
      <c r="A75" s="5" t="s">
        <v>46</v>
      </c>
      <c r="B75" s="3">
        <f>B66</f>
        <v>1</v>
      </c>
      <c r="C75" s="5">
        <v>1</v>
      </c>
    </row>
    <row r="76" spans="1:6" x14ac:dyDescent="0.35">
      <c r="A76" s="5" t="s">
        <v>47</v>
      </c>
      <c r="B76" s="3">
        <f>B67</f>
        <v>1</v>
      </c>
      <c r="C76" s="5">
        <v>1</v>
      </c>
    </row>
    <row r="77" spans="1:6" x14ac:dyDescent="0.35">
      <c r="A77" s="5" t="s">
        <v>69</v>
      </c>
      <c r="B77" s="3">
        <f>C67</f>
        <v>10</v>
      </c>
      <c r="C77" s="5">
        <v>1</v>
      </c>
    </row>
    <row r="78" spans="1:6" x14ac:dyDescent="0.35">
      <c r="A78" s="5" t="s">
        <v>100</v>
      </c>
      <c r="B78" s="5">
        <v>1</v>
      </c>
      <c r="C78" s="55">
        <v>1</v>
      </c>
    </row>
    <row r="79" spans="1:6" x14ac:dyDescent="0.35">
      <c r="A79" s="5" t="s">
        <v>70</v>
      </c>
      <c r="B79" s="3">
        <f>F67</f>
        <v>15</v>
      </c>
      <c r="C79" s="55">
        <v>1</v>
      </c>
    </row>
    <row r="81" spans="1:8" x14ac:dyDescent="0.35">
      <c r="A81" s="51" t="s">
        <v>51</v>
      </c>
      <c r="B81" s="34"/>
      <c r="C81" s="34"/>
      <c r="D81" s="34"/>
      <c r="E81" s="34"/>
    </row>
    <row r="82" spans="1:8" x14ac:dyDescent="0.35">
      <c r="A82" s="50" t="s">
        <v>52</v>
      </c>
      <c r="B82" s="23">
        <v>2019</v>
      </c>
      <c r="C82" s="23">
        <v>2020</v>
      </c>
      <c r="D82" s="23">
        <v>2021</v>
      </c>
      <c r="E82" s="23">
        <v>2022</v>
      </c>
      <c r="F82" s="23">
        <v>2023</v>
      </c>
      <c r="G82" s="23">
        <v>2024</v>
      </c>
      <c r="H82" s="23">
        <v>2025</v>
      </c>
    </row>
    <row r="83" spans="1:8" x14ac:dyDescent="0.35">
      <c r="A83" s="5" t="s">
        <v>44</v>
      </c>
      <c r="B83" s="12">
        <f>3500+139+35+64+493+1469+2831</f>
        <v>8531</v>
      </c>
      <c r="C83" s="12">
        <f t="shared" ref="C83:C88" si="17">3500+139+35+64+493+1469+2831</f>
        <v>8531</v>
      </c>
      <c r="D83" s="12">
        <f>1521+47+35+64+493+1710+2831</f>
        <v>6701</v>
      </c>
      <c r="E83" s="12">
        <f t="shared" ref="E83:H88" si="18">1521+47+35+64+493+1710+2831</f>
        <v>6701</v>
      </c>
      <c r="F83" s="12">
        <f t="shared" si="18"/>
        <v>6701</v>
      </c>
      <c r="G83" s="12">
        <f t="shared" si="18"/>
        <v>6701</v>
      </c>
      <c r="H83" s="12">
        <f t="shared" si="18"/>
        <v>6701</v>
      </c>
    </row>
    <row r="84" spans="1:8" x14ac:dyDescent="0.35">
      <c r="A84" s="5" t="s">
        <v>45</v>
      </c>
      <c r="B84" s="12">
        <f t="shared" ref="B84:B88" si="19">3500+139+35+64+493+1469+2831</f>
        <v>8531</v>
      </c>
      <c r="C84" s="12">
        <f t="shared" si="17"/>
        <v>8531</v>
      </c>
      <c r="D84" s="12">
        <f t="shared" ref="D84:D88" si="20">1521+47+35+64+493+1710+2831</f>
        <v>6701</v>
      </c>
      <c r="E84" s="12">
        <f t="shared" si="18"/>
        <v>6701</v>
      </c>
      <c r="F84" s="12">
        <f t="shared" si="18"/>
        <v>6701</v>
      </c>
      <c r="G84" s="12">
        <f t="shared" si="18"/>
        <v>6701</v>
      </c>
      <c r="H84" s="12">
        <f t="shared" si="18"/>
        <v>6701</v>
      </c>
    </row>
    <row r="85" spans="1:8" x14ac:dyDescent="0.35">
      <c r="A85" s="5" t="s">
        <v>46</v>
      </c>
      <c r="B85" s="12">
        <f t="shared" si="19"/>
        <v>8531</v>
      </c>
      <c r="C85" s="12">
        <f t="shared" si="17"/>
        <v>8531</v>
      </c>
      <c r="D85" s="12">
        <f t="shared" si="20"/>
        <v>6701</v>
      </c>
      <c r="E85" s="12">
        <f t="shared" si="18"/>
        <v>6701</v>
      </c>
      <c r="F85" s="12">
        <f t="shared" si="18"/>
        <v>6701</v>
      </c>
      <c r="G85" s="12">
        <f t="shared" si="18"/>
        <v>6701</v>
      </c>
      <c r="H85" s="12">
        <f t="shared" si="18"/>
        <v>6701</v>
      </c>
    </row>
    <row r="86" spans="1:8" x14ac:dyDescent="0.35">
      <c r="A86" s="5" t="s">
        <v>47</v>
      </c>
      <c r="B86" s="12">
        <f t="shared" si="19"/>
        <v>8531</v>
      </c>
      <c r="C86" s="12">
        <f t="shared" si="17"/>
        <v>8531</v>
      </c>
      <c r="D86" s="12">
        <f t="shared" si="20"/>
        <v>6701</v>
      </c>
      <c r="E86" s="12">
        <f t="shared" si="18"/>
        <v>6701</v>
      </c>
      <c r="F86" s="12">
        <f t="shared" si="18"/>
        <v>6701</v>
      </c>
      <c r="G86" s="12">
        <f t="shared" si="18"/>
        <v>6701</v>
      </c>
      <c r="H86" s="12">
        <f t="shared" si="18"/>
        <v>6701</v>
      </c>
    </row>
    <row r="87" spans="1:8" x14ac:dyDescent="0.35">
      <c r="A87" s="5" t="s">
        <v>48</v>
      </c>
      <c r="B87" s="12">
        <f t="shared" si="19"/>
        <v>8531</v>
      </c>
      <c r="C87" s="12">
        <f t="shared" si="17"/>
        <v>8531</v>
      </c>
      <c r="D87" s="12">
        <f t="shared" si="20"/>
        <v>6701</v>
      </c>
      <c r="E87" s="12">
        <f t="shared" si="18"/>
        <v>6701</v>
      </c>
      <c r="F87" s="12">
        <f t="shared" si="18"/>
        <v>6701</v>
      </c>
      <c r="G87" s="12">
        <f t="shared" si="18"/>
        <v>6701</v>
      </c>
      <c r="H87" s="12">
        <f t="shared" si="18"/>
        <v>6701</v>
      </c>
    </row>
    <row r="88" spans="1:8" x14ac:dyDescent="0.35">
      <c r="A88" s="5" t="s">
        <v>49</v>
      </c>
      <c r="B88" s="12">
        <f t="shared" si="19"/>
        <v>8531</v>
      </c>
      <c r="C88" s="12">
        <f t="shared" si="17"/>
        <v>8531</v>
      </c>
      <c r="D88" s="12">
        <f t="shared" si="20"/>
        <v>6701</v>
      </c>
      <c r="E88" s="12">
        <f t="shared" si="18"/>
        <v>6701</v>
      </c>
      <c r="F88" s="12">
        <f t="shared" si="18"/>
        <v>6701</v>
      </c>
      <c r="G88" s="12">
        <f t="shared" si="18"/>
        <v>6701</v>
      </c>
      <c r="H88" s="12">
        <f t="shared" si="18"/>
        <v>6701</v>
      </c>
    </row>
    <row r="89" spans="1:8" x14ac:dyDescent="0.35">
      <c r="A89" s="5" t="s">
        <v>50</v>
      </c>
      <c r="B89" s="12">
        <f>35+64+72</f>
        <v>171</v>
      </c>
      <c r="C89" s="12">
        <f t="shared" ref="C89:H89" si="21">35+64+72</f>
        <v>171</v>
      </c>
      <c r="D89" s="12">
        <f t="shared" si="21"/>
        <v>171</v>
      </c>
      <c r="E89" s="12">
        <f t="shared" si="21"/>
        <v>171</v>
      </c>
      <c r="F89" s="12">
        <f t="shared" si="21"/>
        <v>171</v>
      </c>
      <c r="G89" s="12">
        <f t="shared" si="21"/>
        <v>171</v>
      </c>
      <c r="H89" s="12">
        <f t="shared" si="21"/>
        <v>171</v>
      </c>
    </row>
    <row r="90" spans="1:8" s="34" customFormat="1" x14ac:dyDescent="0.35">
      <c r="A90" s="15"/>
      <c r="B90" s="101"/>
      <c r="C90" s="101"/>
      <c r="D90" s="101"/>
      <c r="E90" s="101"/>
    </row>
    <row r="91" spans="1:8" x14ac:dyDescent="0.35">
      <c r="A91" s="14"/>
      <c r="B91" s="14"/>
      <c r="C91" s="14"/>
      <c r="D91" s="15"/>
      <c r="E91" s="15"/>
    </row>
    <row r="92" spans="1:8" x14ac:dyDescent="0.35">
      <c r="A92" s="36" t="s">
        <v>53</v>
      </c>
      <c r="B92" s="36"/>
      <c r="C92" s="36"/>
      <c r="D92" s="36"/>
      <c r="E92" s="36"/>
      <c r="F92" s="36"/>
      <c r="G92" s="36"/>
      <c r="H92" s="36"/>
    </row>
    <row r="93" spans="1:8" x14ac:dyDescent="0.35">
      <c r="A93" s="2" t="s">
        <v>54</v>
      </c>
      <c r="B93" s="2"/>
      <c r="C93" s="2"/>
      <c r="D93" s="2"/>
      <c r="E93" s="2"/>
      <c r="F93" s="2"/>
      <c r="G93" s="2"/>
      <c r="H93" s="2"/>
    </row>
    <row r="94" spans="1:8" x14ac:dyDescent="0.35">
      <c r="A94" s="56" t="s">
        <v>55</v>
      </c>
    </row>
    <row r="95" spans="1:8" x14ac:dyDescent="0.35">
      <c r="A95" s="3" t="s">
        <v>56</v>
      </c>
      <c r="B95" s="23">
        <v>2019</v>
      </c>
      <c r="C95" s="23">
        <v>2020</v>
      </c>
      <c r="D95" s="23">
        <v>2021</v>
      </c>
      <c r="E95" s="23">
        <v>2022</v>
      </c>
      <c r="F95" s="23">
        <v>2023</v>
      </c>
      <c r="G95" s="23">
        <v>2024</v>
      </c>
      <c r="H95" s="23">
        <v>2025</v>
      </c>
    </row>
    <row r="96" spans="1:8" x14ac:dyDescent="0.35">
      <c r="A96" s="3" t="s">
        <v>57</v>
      </c>
      <c r="B96" s="9">
        <f t="shared" ref="B96:D99" si="22">B33</f>
        <v>574.09651802076974</v>
      </c>
      <c r="C96" s="9">
        <f t="shared" si="22"/>
        <v>487.52542944410504</v>
      </c>
      <c r="D96" s="9">
        <f t="shared" si="22"/>
        <v>414.35128723274278</v>
      </c>
      <c r="E96" s="9">
        <f t="shared" ref="E96:H99" si="23">E33</f>
        <v>313.40599936762368</v>
      </c>
      <c r="F96" s="9">
        <f t="shared" si="23"/>
        <v>208.25365124900864</v>
      </c>
      <c r="G96" s="9">
        <f t="shared" si="23"/>
        <v>120.11325458244264</v>
      </c>
      <c r="H96" s="9">
        <f t="shared" si="23"/>
        <v>59.240646503311531</v>
      </c>
    </row>
    <row r="97" spans="1:36" x14ac:dyDescent="0.35">
      <c r="A97" s="3" t="s">
        <v>58</v>
      </c>
      <c r="B97" s="9">
        <f t="shared" si="22"/>
        <v>1468.3113709747797</v>
      </c>
      <c r="C97" s="9">
        <f t="shared" si="22"/>
        <v>1246.8968356750152</v>
      </c>
      <c r="D97" s="9">
        <f t="shared" si="22"/>
        <v>1059.7463797888122</v>
      </c>
      <c r="E97" s="9">
        <f t="shared" si="23"/>
        <v>801.56833939645685</v>
      </c>
      <c r="F97" s="9">
        <f t="shared" si="23"/>
        <v>532.63030618986079</v>
      </c>
      <c r="G97" s="9">
        <f t="shared" si="23"/>
        <v>307.20210273389705</v>
      </c>
      <c r="H97" s="9">
        <f t="shared" si="23"/>
        <v>151.51409589556636</v>
      </c>
    </row>
    <row r="98" spans="1:36" x14ac:dyDescent="0.35">
      <c r="A98" s="3" t="s">
        <v>59</v>
      </c>
      <c r="B98" s="9">
        <f t="shared" si="22"/>
        <v>1881.0259184920151</v>
      </c>
      <c r="C98" s="9">
        <f t="shared" si="22"/>
        <v>1597.3759462431276</v>
      </c>
      <c r="D98" s="9">
        <f t="shared" si="22"/>
        <v>1357.6210378916135</v>
      </c>
      <c r="E98" s="9">
        <f t="shared" si="23"/>
        <v>1026.8740347943799</v>
      </c>
      <c r="F98" s="9">
        <f t="shared" si="23"/>
        <v>682.34260847025416</v>
      </c>
      <c r="G98" s="9">
        <f t="shared" si="23"/>
        <v>393.55080188072219</v>
      </c>
      <c r="H98" s="9">
        <f t="shared" si="23"/>
        <v>194.10184176891474</v>
      </c>
      <c r="U98" s="29"/>
      <c r="V98" s="29"/>
      <c r="W98" s="29"/>
      <c r="X98" s="29"/>
      <c r="Y98" s="29"/>
      <c r="Z98" s="29"/>
      <c r="AA98" s="29"/>
    </row>
    <row r="99" spans="1:36" x14ac:dyDescent="0.35">
      <c r="A99" s="3" t="s">
        <v>60</v>
      </c>
      <c r="B99" s="9">
        <f t="shared" si="22"/>
        <v>11225.306571254036</v>
      </c>
      <c r="C99" s="9">
        <f t="shared" si="22"/>
        <v>9532.58247525962</v>
      </c>
      <c r="D99" s="9">
        <f t="shared" si="22"/>
        <v>8101.8088098088829</v>
      </c>
      <c r="E99" s="9">
        <f t="shared" si="23"/>
        <v>6128.0260613678674</v>
      </c>
      <c r="F99" s="9">
        <f t="shared" si="23"/>
        <v>4071.9826831776209</v>
      </c>
      <c r="G99" s="9">
        <f t="shared" si="23"/>
        <v>2348.5739133331986</v>
      </c>
      <c r="H99" s="9">
        <f t="shared" si="23"/>
        <v>1158.3320880808794</v>
      </c>
    </row>
    <row r="101" spans="1:36" ht="13" customHeight="1" x14ac:dyDescent="0.35">
      <c r="A101" s="56" t="s">
        <v>61</v>
      </c>
    </row>
    <row r="102" spans="1:36" ht="13" customHeight="1" x14ac:dyDescent="0.35">
      <c r="A102" s="44"/>
      <c r="B102" s="23">
        <v>2019</v>
      </c>
      <c r="C102" s="23">
        <v>2020</v>
      </c>
      <c r="D102" s="23">
        <v>2021</v>
      </c>
      <c r="E102" s="23">
        <v>2022</v>
      </c>
      <c r="F102" s="23">
        <v>2023</v>
      </c>
      <c r="G102" s="23">
        <v>2024</v>
      </c>
      <c r="H102" s="23">
        <v>2025</v>
      </c>
    </row>
    <row r="103" spans="1:36" ht="13" customHeight="1" x14ac:dyDescent="0.35">
      <c r="A103" s="3" t="s">
        <v>26</v>
      </c>
      <c r="B103" s="9">
        <f t="shared" ref="B103:H107" si="24">B40*$C63</f>
        <v>21.629823413996078</v>
      </c>
      <c r="C103" s="9">
        <f t="shared" si="24"/>
        <v>18.368146500981034</v>
      </c>
      <c r="D103" s="9">
        <f t="shared" si="24"/>
        <v>15.61121674296926</v>
      </c>
      <c r="E103" s="9">
        <f t="shared" si="24"/>
        <v>11.807973416350555</v>
      </c>
      <c r="F103" s="9">
        <f t="shared" si="24"/>
        <v>7.846223693126487</v>
      </c>
      <c r="G103" s="9">
        <f t="shared" si="24"/>
        <v>4.5254210829486299</v>
      </c>
      <c r="H103" s="9">
        <f t="shared" si="24"/>
        <v>2.2319674176306976</v>
      </c>
    </row>
    <row r="104" spans="1:36" ht="13" customHeight="1" x14ac:dyDescent="0.35">
      <c r="A104" s="3" t="s">
        <v>27</v>
      </c>
      <c r="B104" s="9">
        <f t="shared" si="24"/>
        <v>611.0425114453891</v>
      </c>
      <c r="C104" s="9">
        <f t="shared" si="24"/>
        <v>518.90013865271408</v>
      </c>
      <c r="D104" s="9">
        <f t="shared" si="24"/>
        <v>441.01687298888152</v>
      </c>
      <c r="E104" s="9">
        <f t="shared" si="24"/>
        <v>333.57524901190311</v>
      </c>
      <c r="F104" s="9">
        <f t="shared" si="24"/>
        <v>221.65581933082325</v>
      </c>
      <c r="G104" s="9">
        <f t="shared" si="24"/>
        <v>127.84314559329877</v>
      </c>
      <c r="H104" s="9">
        <f t="shared" si="24"/>
        <v>63.053079548067196</v>
      </c>
    </row>
    <row r="105" spans="1:36" ht="13" customHeight="1" x14ac:dyDescent="0.35">
      <c r="A105" s="3" t="s">
        <v>28</v>
      </c>
      <c r="B105" s="9">
        <f t="shared" si="24"/>
        <v>1642.5147155003269</v>
      </c>
      <c r="C105" s="9">
        <f t="shared" si="24"/>
        <v>1394.831124918247</v>
      </c>
      <c r="D105" s="9">
        <f t="shared" si="24"/>
        <v>1185.476771419228</v>
      </c>
      <c r="E105" s="9">
        <f t="shared" si="24"/>
        <v>896.66798130412019</v>
      </c>
      <c r="F105" s="9">
        <f t="shared" si="24"/>
        <v>595.82261169679259</v>
      </c>
      <c r="G105" s="9">
        <f t="shared" si="24"/>
        <v>343.64916348641151</v>
      </c>
      <c r="H105" s="9">
        <f t="shared" si="24"/>
        <v>169.49002577633109</v>
      </c>
    </row>
    <row r="106" spans="1:36" ht="13" customHeight="1" x14ac:dyDescent="0.35">
      <c r="A106" s="3" t="s">
        <v>29</v>
      </c>
      <c r="B106" s="9">
        <f t="shared" si="24"/>
        <v>2068.3518639633749</v>
      </c>
      <c r="C106" s="9">
        <f t="shared" si="24"/>
        <v>1756.454009156311</v>
      </c>
      <c r="D106" s="9">
        <f t="shared" si="24"/>
        <v>1492.8226010464352</v>
      </c>
      <c r="E106" s="9">
        <f t="shared" si="24"/>
        <v>1129.1374579385217</v>
      </c>
      <c r="F106" s="9">
        <f t="shared" si="24"/>
        <v>750.29514065522028</v>
      </c>
      <c r="G106" s="9">
        <f t="shared" si="24"/>
        <v>432.74339105696271</v>
      </c>
      <c r="H106" s="9">
        <f t="shared" si="24"/>
        <v>213.43188431093543</v>
      </c>
    </row>
    <row r="107" spans="1:36" ht="13" customHeight="1" x14ac:dyDescent="0.35">
      <c r="A107" s="3" t="s">
        <v>30</v>
      </c>
      <c r="B107" s="9">
        <f t="shared" si="24"/>
        <v>12883.263570961415</v>
      </c>
      <c r="C107" s="9">
        <f t="shared" si="24"/>
        <v>10940.527259646828</v>
      </c>
      <c r="D107" s="9">
        <f t="shared" si="24"/>
        <v>9298.430972531065</v>
      </c>
      <c r="E107" s="9">
        <f t="shared" si="24"/>
        <v>7033.1241661137992</v>
      </c>
      <c r="F107" s="9">
        <f t="shared" si="24"/>
        <v>4673.4069872184646</v>
      </c>
      <c r="G107" s="9">
        <f t="shared" si="24"/>
        <v>2695.4539325312776</v>
      </c>
      <c r="H107" s="9">
        <f t="shared" si="24"/>
        <v>1329.4155931262842</v>
      </c>
    </row>
    <row r="108" spans="1:36" ht="13" customHeight="1" x14ac:dyDescent="0.35">
      <c r="A108" s="58" t="s">
        <v>2</v>
      </c>
      <c r="B108" s="13">
        <f t="shared" ref="B108:H108" si="25">SUM(B103:B107)</f>
        <v>17226.802485284501</v>
      </c>
      <c r="C108" s="13">
        <f t="shared" si="25"/>
        <v>14629.080678875082</v>
      </c>
      <c r="D108" s="13">
        <f t="shared" si="25"/>
        <v>12433.35843472858</v>
      </c>
      <c r="E108" s="13">
        <f t="shared" si="25"/>
        <v>9404.3128277846954</v>
      </c>
      <c r="F108" s="13">
        <f t="shared" si="25"/>
        <v>6249.0267825944265</v>
      </c>
      <c r="G108" s="13">
        <f t="shared" si="25"/>
        <v>3604.2150537508992</v>
      </c>
      <c r="H108" s="13">
        <f t="shared" si="25"/>
        <v>1777.6225501792487</v>
      </c>
    </row>
    <row r="109" spans="1:36" ht="13" customHeight="1" x14ac:dyDescent="0.35"/>
    <row r="110" spans="1:36" ht="13" customHeight="1" x14ac:dyDescent="0.35">
      <c r="A110" s="56" t="s">
        <v>62</v>
      </c>
    </row>
    <row r="111" spans="1:36" s="57" customFormat="1" ht="13" customHeight="1" x14ac:dyDescent="0.35">
      <c r="A111" s="44"/>
      <c r="B111" s="23">
        <v>2019</v>
      </c>
      <c r="C111" s="23">
        <v>2020</v>
      </c>
      <c r="D111" s="23">
        <v>2021</v>
      </c>
      <c r="E111" s="23">
        <v>2022</v>
      </c>
      <c r="F111" s="23">
        <v>2023</v>
      </c>
      <c r="G111" s="23">
        <v>2024</v>
      </c>
      <c r="H111" s="23">
        <v>2025</v>
      </c>
      <c r="AD111"/>
      <c r="AE111"/>
      <c r="AF111"/>
      <c r="AG111"/>
      <c r="AH111"/>
      <c r="AI111"/>
      <c r="AJ111"/>
    </row>
    <row r="112" spans="1:36" ht="13" customHeight="1" x14ac:dyDescent="0.35">
      <c r="A112" s="3" t="s">
        <v>26</v>
      </c>
      <c r="B112" s="8" t="s">
        <v>39</v>
      </c>
      <c r="C112" s="8" t="s">
        <v>39</v>
      </c>
      <c r="D112" s="8" t="s">
        <v>39</v>
      </c>
      <c r="E112" s="8" t="s">
        <v>39</v>
      </c>
      <c r="F112" s="8" t="s">
        <v>39</v>
      </c>
      <c r="G112" s="8" t="s">
        <v>39</v>
      </c>
      <c r="H112" s="8" t="s">
        <v>39</v>
      </c>
    </row>
    <row r="113" spans="1:8" ht="13" customHeight="1" x14ac:dyDescent="0.35">
      <c r="A113" s="3" t="s">
        <v>27</v>
      </c>
      <c r="B113" s="9">
        <f t="shared" ref="B113:H116" si="26">B33*$D64</f>
        <v>14.352412950519245</v>
      </c>
      <c r="C113" s="9">
        <f t="shared" si="26"/>
        <v>12.188135736102627</v>
      </c>
      <c r="D113" s="9">
        <f t="shared" si="26"/>
        <v>10.35878218081857</v>
      </c>
      <c r="E113" s="9">
        <f t="shared" si="26"/>
        <v>7.8351499841905925</v>
      </c>
      <c r="F113" s="9">
        <f t="shared" si="26"/>
        <v>5.2063412812252166</v>
      </c>
      <c r="G113" s="9">
        <f t="shared" si="26"/>
        <v>3.0028313645610663</v>
      </c>
      <c r="H113" s="9">
        <f t="shared" si="26"/>
        <v>1.4810161625827885</v>
      </c>
    </row>
    <row r="114" spans="1:8" ht="13" customHeight="1" x14ac:dyDescent="0.35">
      <c r="A114" s="3" t="s">
        <v>28</v>
      </c>
      <c r="B114" s="9">
        <f t="shared" si="26"/>
        <v>73.415568548738989</v>
      </c>
      <c r="C114" s="9">
        <f t="shared" si="26"/>
        <v>62.344841783750759</v>
      </c>
      <c r="D114" s="9">
        <f t="shared" si="26"/>
        <v>52.98731898944061</v>
      </c>
      <c r="E114" s="9">
        <f t="shared" si="26"/>
        <v>40.078416969822847</v>
      </c>
      <c r="F114" s="9">
        <f t="shared" si="26"/>
        <v>26.631515309493039</v>
      </c>
      <c r="G114" s="9">
        <f t="shared" si="26"/>
        <v>15.360105136694854</v>
      </c>
      <c r="H114" s="9">
        <f t="shared" si="26"/>
        <v>7.5757047947783178</v>
      </c>
    </row>
    <row r="115" spans="1:8" x14ac:dyDescent="0.35">
      <c r="A115" s="3" t="s">
        <v>29</v>
      </c>
      <c r="B115" s="9">
        <f t="shared" si="26"/>
        <v>94.051295924600765</v>
      </c>
      <c r="C115" s="9">
        <f t="shared" si="26"/>
        <v>79.868797312156389</v>
      </c>
      <c r="D115" s="9">
        <f t="shared" si="26"/>
        <v>67.881051894580679</v>
      </c>
      <c r="E115" s="9">
        <f t="shared" si="26"/>
        <v>51.343701739718995</v>
      </c>
      <c r="F115" s="9">
        <f t="shared" si="26"/>
        <v>34.117130423512712</v>
      </c>
      <c r="G115" s="9">
        <f t="shared" si="26"/>
        <v>19.677540094036111</v>
      </c>
      <c r="H115" s="9">
        <f t="shared" si="26"/>
        <v>9.7050920884457383</v>
      </c>
    </row>
    <row r="116" spans="1:8" x14ac:dyDescent="0.35">
      <c r="A116" s="3" t="s">
        <v>30</v>
      </c>
      <c r="B116" s="9">
        <f t="shared" si="26"/>
        <v>1122.5306571254036</v>
      </c>
      <c r="C116" s="9">
        <f t="shared" si="26"/>
        <v>953.25824752596202</v>
      </c>
      <c r="D116" s="9">
        <f t="shared" si="26"/>
        <v>810.18088098088833</v>
      </c>
      <c r="E116" s="9">
        <f t="shared" si="26"/>
        <v>612.80260613678672</v>
      </c>
      <c r="F116" s="9">
        <f t="shared" si="26"/>
        <v>407.19826831776209</v>
      </c>
      <c r="G116" s="9">
        <f t="shared" si="26"/>
        <v>234.85739133331987</v>
      </c>
      <c r="H116" s="9">
        <f t="shared" si="26"/>
        <v>115.83320880808795</v>
      </c>
    </row>
    <row r="117" spans="1:8" x14ac:dyDescent="0.35">
      <c r="A117" s="58" t="s">
        <v>2</v>
      </c>
      <c r="B117" s="59">
        <f t="shared" ref="B117:H117" si="27">SUM(B113:B116)</f>
        <v>1304.3499345492626</v>
      </c>
      <c r="C117" s="59">
        <f t="shared" si="27"/>
        <v>1107.6600223579717</v>
      </c>
      <c r="D117" s="59">
        <f t="shared" si="27"/>
        <v>941.40803404572819</v>
      </c>
      <c r="E117" s="59">
        <f t="shared" si="27"/>
        <v>712.05987483051922</v>
      </c>
      <c r="F117" s="59">
        <f t="shared" si="27"/>
        <v>473.15325533199302</v>
      </c>
      <c r="G117" s="59">
        <f t="shared" si="27"/>
        <v>272.8978679286119</v>
      </c>
      <c r="H117" s="59">
        <f t="shared" si="27"/>
        <v>134.59502185389479</v>
      </c>
    </row>
    <row r="119" spans="1:8" x14ac:dyDescent="0.35">
      <c r="A119" s="56" t="s">
        <v>63</v>
      </c>
    </row>
    <row r="120" spans="1:8" x14ac:dyDescent="0.35">
      <c r="A120" s="44"/>
      <c r="B120" s="23">
        <v>2019</v>
      </c>
      <c r="C120" s="23">
        <v>2020</v>
      </c>
      <c r="D120" s="23">
        <v>2021</v>
      </c>
      <c r="E120" s="23">
        <v>2022</v>
      </c>
      <c r="F120" s="23">
        <v>2023</v>
      </c>
      <c r="G120" s="23">
        <v>2024</v>
      </c>
      <c r="H120" s="23">
        <v>2025</v>
      </c>
    </row>
    <row r="121" spans="1:8" x14ac:dyDescent="0.35">
      <c r="A121" s="3" t="s">
        <v>26</v>
      </c>
      <c r="B121" s="8" t="s">
        <v>39</v>
      </c>
      <c r="C121" s="8" t="s">
        <v>39</v>
      </c>
      <c r="D121" s="8" t="s">
        <v>39</v>
      </c>
      <c r="E121" s="8" t="s">
        <v>39</v>
      </c>
      <c r="F121" s="8" t="s">
        <v>39</v>
      </c>
      <c r="G121" s="8" t="s">
        <v>39</v>
      </c>
      <c r="H121" s="8" t="s">
        <v>39</v>
      </c>
    </row>
    <row r="122" spans="1:8" x14ac:dyDescent="0.35">
      <c r="A122" s="3" t="s">
        <v>27</v>
      </c>
      <c r="B122" s="9">
        <f t="shared" ref="B122:H125" si="28">B49*$E64</f>
        <v>62.377256376716801</v>
      </c>
      <c r="C122" s="9">
        <f t="shared" si="28"/>
        <v>52.971055820797886</v>
      </c>
      <c r="D122" s="9">
        <f t="shared" si="28"/>
        <v>45.020472450948326</v>
      </c>
      <c r="E122" s="9">
        <f t="shared" si="28"/>
        <v>34.052473336631778</v>
      </c>
      <c r="F122" s="9">
        <f t="shared" si="28"/>
        <v>22.627364890021539</v>
      </c>
      <c r="G122" s="9">
        <f t="shared" si="28"/>
        <v>13.050654445982582</v>
      </c>
      <c r="H122" s="9">
        <f t="shared" si="28"/>
        <v>6.4366685371985257</v>
      </c>
    </row>
    <row r="123" spans="1:8" x14ac:dyDescent="0.35">
      <c r="A123" s="3" t="s">
        <v>28</v>
      </c>
      <c r="B123" s="9">
        <f t="shared" si="28"/>
        <v>268.2774035317201</v>
      </c>
      <c r="C123" s="9">
        <f t="shared" si="28"/>
        <v>227.82241706998033</v>
      </c>
      <c r="D123" s="9">
        <f t="shared" si="28"/>
        <v>193.62787266514056</v>
      </c>
      <c r="E123" s="9">
        <f t="shared" si="28"/>
        <v>146.45577027967295</v>
      </c>
      <c r="F123" s="9">
        <f t="shared" si="28"/>
        <v>97.317693243809444</v>
      </c>
      <c r="G123" s="9">
        <f t="shared" si="28"/>
        <v>56.129363369447219</v>
      </c>
      <c r="H123" s="9">
        <f t="shared" si="28"/>
        <v>27.683370876800744</v>
      </c>
    </row>
    <row r="124" spans="1:8" x14ac:dyDescent="0.35">
      <c r="A124" s="3" t="s">
        <v>29</v>
      </c>
      <c r="B124" s="9">
        <f t="shared" si="28"/>
        <v>225.22053629823415</v>
      </c>
      <c r="C124" s="9">
        <f t="shared" si="28"/>
        <v>191.25832544146499</v>
      </c>
      <c r="D124" s="9">
        <f t="shared" si="28"/>
        <v>162.55179433616738</v>
      </c>
      <c r="E124" s="9">
        <f t="shared" si="28"/>
        <v>122.95052319775014</v>
      </c>
      <c r="F124" s="9">
        <f t="shared" si="28"/>
        <v>81.698804204679533</v>
      </c>
      <c r="G124" s="9">
        <f t="shared" si="28"/>
        <v>47.1209470262026</v>
      </c>
      <c r="H124" s="9">
        <f t="shared" si="28"/>
        <v>23.240360736079637</v>
      </c>
    </row>
    <row r="125" spans="1:8" x14ac:dyDescent="0.35">
      <c r="A125" s="3" t="s">
        <v>30</v>
      </c>
      <c r="B125" s="9">
        <f t="shared" si="28"/>
        <v>2104.2663832570311</v>
      </c>
      <c r="C125" s="9">
        <f t="shared" si="28"/>
        <v>1786.9527857423154</v>
      </c>
      <c r="D125" s="9">
        <f t="shared" si="28"/>
        <v>1518.7437255134073</v>
      </c>
      <c r="E125" s="9">
        <f t="shared" si="28"/>
        <v>1148.7436137985871</v>
      </c>
      <c r="F125" s="9">
        <f t="shared" si="28"/>
        <v>763.32314124568245</v>
      </c>
      <c r="G125" s="9">
        <f t="shared" si="28"/>
        <v>440.25747564677533</v>
      </c>
      <c r="H125" s="9">
        <f t="shared" si="28"/>
        <v>217.13788021062641</v>
      </c>
    </row>
    <row r="126" spans="1:8" x14ac:dyDescent="0.35">
      <c r="A126" s="58" t="s">
        <v>2</v>
      </c>
      <c r="B126" s="59">
        <f t="shared" ref="B126:H126" si="29">SUM(B123:B125)</f>
        <v>2597.7643230869853</v>
      </c>
      <c r="C126" s="59">
        <f t="shared" si="29"/>
        <v>2206.0335282537608</v>
      </c>
      <c r="D126" s="59">
        <f t="shared" si="29"/>
        <v>1874.9233925147153</v>
      </c>
      <c r="E126" s="59">
        <f t="shared" si="29"/>
        <v>1418.1499072760103</v>
      </c>
      <c r="F126" s="59">
        <f t="shared" si="29"/>
        <v>942.33963869417141</v>
      </c>
      <c r="G126" s="59">
        <f t="shared" si="29"/>
        <v>543.5077860424251</v>
      </c>
      <c r="H126" s="59">
        <f t="shared" si="29"/>
        <v>268.06161182350678</v>
      </c>
    </row>
    <row r="127" spans="1:8" x14ac:dyDescent="0.35">
      <c r="B127" s="18"/>
      <c r="C127" s="18"/>
      <c r="D127" s="18"/>
      <c r="E127" s="18"/>
    </row>
    <row r="128" spans="1:8" x14ac:dyDescent="0.35">
      <c r="A128" s="60" t="s">
        <v>64</v>
      </c>
      <c r="B128" s="23">
        <v>2019</v>
      </c>
      <c r="C128" s="23">
        <v>2020</v>
      </c>
      <c r="D128" s="23">
        <v>2021</v>
      </c>
      <c r="E128" s="23">
        <v>2022</v>
      </c>
      <c r="F128" s="23">
        <v>2023</v>
      </c>
      <c r="G128" s="23">
        <v>2024</v>
      </c>
      <c r="H128" s="23">
        <v>2025</v>
      </c>
    </row>
    <row r="129" spans="1:8" x14ac:dyDescent="0.35">
      <c r="A129" s="3" t="s">
        <v>27</v>
      </c>
      <c r="B129" s="102">
        <f t="shared" ref="B129:H132" si="30">B56*$F64</f>
        <v>101.77165546731825</v>
      </c>
      <c r="C129" s="102">
        <f t="shared" si="30"/>
        <v>86.424962492364074</v>
      </c>
      <c r="D129" s="102">
        <f t="shared" si="30"/>
        <v>73.453182736713487</v>
      </c>
      <c r="E129" s="102">
        <f t="shared" si="30"/>
        <v>55.558336251533277</v>
      </c>
      <c r="F129" s="102">
        <f t="shared" si="30"/>
        <v>36.917692721415165</v>
      </c>
      <c r="G129" s="102">
        <f t="shared" si="30"/>
        <v>21.292804221433009</v>
      </c>
      <c r="H129" s="102">
        <f t="shared" si="30"/>
        <v>10.50175097104159</v>
      </c>
    </row>
    <row r="130" spans="1:8" x14ac:dyDescent="0.35">
      <c r="A130" s="3" t="s">
        <v>28</v>
      </c>
      <c r="B130" s="102">
        <f t="shared" si="30"/>
        <v>520.58312243651278</v>
      </c>
      <c r="C130" s="102">
        <f t="shared" si="30"/>
        <v>442.08160537568722</v>
      </c>
      <c r="D130" s="102">
        <f t="shared" si="30"/>
        <v>375.72826192512434</v>
      </c>
      <c r="E130" s="102">
        <f t="shared" si="30"/>
        <v>284.19241124056191</v>
      </c>
      <c r="F130" s="102">
        <f t="shared" si="30"/>
        <v>188.84165401276883</v>
      </c>
      <c r="G130" s="102">
        <f t="shared" si="30"/>
        <v>108.91710915110895</v>
      </c>
      <c r="H130" s="102">
        <f t="shared" si="30"/>
        <v>53.718633999337165</v>
      </c>
    </row>
    <row r="131" spans="1:8" x14ac:dyDescent="0.35">
      <c r="A131" s="3" t="s">
        <v>29</v>
      </c>
      <c r="B131" s="102">
        <f t="shared" si="30"/>
        <v>666.90918928353256</v>
      </c>
      <c r="C131" s="102">
        <f t="shared" si="30"/>
        <v>566.34238094074522</v>
      </c>
      <c r="D131" s="102">
        <f t="shared" si="30"/>
        <v>481.33836797975391</v>
      </c>
      <c r="E131" s="102">
        <f t="shared" si="30"/>
        <v>364.07352142709829</v>
      </c>
      <c r="F131" s="102">
        <f t="shared" si="30"/>
        <v>241.9214702758174</v>
      </c>
      <c r="G131" s="102">
        <f t="shared" si="30"/>
        <v>139.53164793952877</v>
      </c>
      <c r="H131" s="102">
        <f t="shared" si="30"/>
        <v>68.817925718069773</v>
      </c>
    </row>
    <row r="132" spans="1:8" x14ac:dyDescent="0.35">
      <c r="A132" s="3" t="s">
        <v>30</v>
      </c>
      <c r="B132" s="102">
        <f t="shared" si="30"/>
        <v>4974.8517758966746</v>
      </c>
      <c r="C132" s="102">
        <f t="shared" si="30"/>
        <v>4224.6672333536953</v>
      </c>
      <c r="D132" s="102">
        <f t="shared" si="30"/>
        <v>3590.5743588925729</v>
      </c>
      <c r="E132" s="102">
        <f t="shared" si="30"/>
        <v>2715.8297317425772</v>
      </c>
      <c r="F132" s="102">
        <f t="shared" si="30"/>
        <v>1804.6286891355364</v>
      </c>
      <c r="G132" s="102">
        <f t="shared" si="30"/>
        <v>1040.8452570453946</v>
      </c>
      <c r="H132" s="102">
        <f t="shared" si="30"/>
        <v>513.3517208540261</v>
      </c>
    </row>
    <row r="133" spans="1:8" x14ac:dyDescent="0.35">
      <c r="A133" s="58" t="s">
        <v>2</v>
      </c>
      <c r="B133" s="102">
        <f t="shared" ref="B133:H133" si="31">B132+B131+B130+B129</f>
        <v>6264.1157430840376</v>
      </c>
      <c r="C133" s="102">
        <f t="shared" si="31"/>
        <v>5319.5161821624915</v>
      </c>
      <c r="D133" s="102">
        <f t="shared" si="31"/>
        <v>4521.0941715341651</v>
      </c>
      <c r="E133" s="102">
        <f t="shared" si="31"/>
        <v>3419.6540006617706</v>
      </c>
      <c r="F133" s="102">
        <f t="shared" si="31"/>
        <v>2272.3095061455379</v>
      </c>
      <c r="G133" s="102">
        <f t="shared" si="31"/>
        <v>1310.5868183574653</v>
      </c>
      <c r="H133" s="102">
        <f t="shared" si="31"/>
        <v>646.39003154247462</v>
      </c>
    </row>
    <row r="134" spans="1:8" x14ac:dyDescent="0.35">
      <c r="B134" s="18"/>
      <c r="C134" s="18"/>
      <c r="D134" s="18"/>
      <c r="E134" s="18"/>
    </row>
    <row r="135" spans="1:8" x14ac:dyDescent="0.35">
      <c r="B135" s="27"/>
    </row>
    <row r="136" spans="1:8" x14ac:dyDescent="0.35">
      <c r="A136" s="2" t="s">
        <v>65</v>
      </c>
      <c r="B136" s="42"/>
      <c r="C136" s="42"/>
      <c r="D136" s="42"/>
      <c r="E136" s="42"/>
      <c r="F136" s="42"/>
      <c r="G136" s="42"/>
      <c r="H136" s="42"/>
    </row>
    <row r="137" spans="1:8" x14ac:dyDescent="0.35">
      <c r="A137" s="5" t="s">
        <v>41</v>
      </c>
      <c r="B137" s="23">
        <v>2019</v>
      </c>
      <c r="C137" s="23">
        <v>2020</v>
      </c>
      <c r="D137" s="23">
        <v>2021</v>
      </c>
      <c r="E137" s="23">
        <v>2022</v>
      </c>
      <c r="F137" s="23">
        <v>2023</v>
      </c>
      <c r="G137" s="23">
        <v>2024</v>
      </c>
      <c r="H137" s="23">
        <v>2025</v>
      </c>
    </row>
    <row r="138" spans="1:8" x14ac:dyDescent="0.35">
      <c r="A138" s="5" t="s">
        <v>106</v>
      </c>
      <c r="B138" s="61">
        <f t="shared" ref="B138:H141" si="32">B96*(1+$B$69)</f>
        <v>1148.1930360415395</v>
      </c>
      <c r="C138" s="61">
        <f t="shared" si="32"/>
        <v>975.05085888821009</v>
      </c>
      <c r="D138" s="61">
        <f t="shared" si="32"/>
        <v>828.70257446548555</v>
      </c>
      <c r="E138" s="61">
        <f t="shared" si="32"/>
        <v>626.81199873524736</v>
      </c>
      <c r="F138" s="61">
        <f t="shared" si="32"/>
        <v>416.50730249801728</v>
      </c>
      <c r="G138" s="61">
        <f t="shared" si="32"/>
        <v>240.22650916488527</v>
      </c>
      <c r="H138" s="61">
        <f t="shared" si="32"/>
        <v>118.48129300662306</v>
      </c>
    </row>
    <row r="139" spans="1:8" x14ac:dyDescent="0.35">
      <c r="A139" s="5" t="s">
        <v>107</v>
      </c>
      <c r="B139" s="61">
        <f t="shared" si="32"/>
        <v>2936.6227419495594</v>
      </c>
      <c r="C139" s="61">
        <f t="shared" si="32"/>
        <v>2493.7936713500303</v>
      </c>
      <c r="D139" s="61">
        <f t="shared" si="32"/>
        <v>2119.4927595776244</v>
      </c>
      <c r="E139" s="61">
        <f t="shared" si="32"/>
        <v>1603.1366787929137</v>
      </c>
      <c r="F139" s="61">
        <f t="shared" si="32"/>
        <v>1065.2606123797216</v>
      </c>
      <c r="G139" s="61">
        <f t="shared" si="32"/>
        <v>614.4042054677941</v>
      </c>
      <c r="H139" s="61">
        <f t="shared" si="32"/>
        <v>303.02819179113271</v>
      </c>
    </row>
    <row r="140" spans="1:8" x14ac:dyDescent="0.35">
      <c r="A140" s="5" t="s">
        <v>108</v>
      </c>
      <c r="B140" s="61">
        <f t="shared" si="32"/>
        <v>3762.0518369840302</v>
      </c>
      <c r="C140" s="61">
        <f t="shared" si="32"/>
        <v>3194.7518924862552</v>
      </c>
      <c r="D140" s="61">
        <f t="shared" si="32"/>
        <v>2715.2420757832269</v>
      </c>
      <c r="E140" s="61">
        <f t="shared" si="32"/>
        <v>2053.7480695887598</v>
      </c>
      <c r="F140" s="61">
        <f t="shared" si="32"/>
        <v>1364.6852169405083</v>
      </c>
      <c r="G140" s="61">
        <f t="shared" si="32"/>
        <v>787.10160376144438</v>
      </c>
      <c r="H140" s="61">
        <f t="shared" si="32"/>
        <v>388.20368353782948</v>
      </c>
    </row>
    <row r="141" spans="1:8" x14ac:dyDescent="0.35">
      <c r="A141" s="5" t="s">
        <v>109</v>
      </c>
      <c r="B141" s="61">
        <f t="shared" si="32"/>
        <v>22450.613142508071</v>
      </c>
      <c r="C141" s="61">
        <f t="shared" si="32"/>
        <v>19065.16495051924</v>
      </c>
      <c r="D141" s="61">
        <f t="shared" si="32"/>
        <v>16203.617619617766</v>
      </c>
      <c r="E141" s="61">
        <f t="shared" si="32"/>
        <v>12256.052122735735</v>
      </c>
      <c r="F141" s="61">
        <f t="shared" si="32"/>
        <v>8143.9653663552417</v>
      </c>
      <c r="G141" s="61">
        <f t="shared" si="32"/>
        <v>4697.1478266663971</v>
      </c>
      <c r="H141" s="61">
        <f t="shared" si="32"/>
        <v>2316.6641761617589</v>
      </c>
    </row>
    <row r="142" spans="1:8" x14ac:dyDescent="0.35">
      <c r="A142" s="5" t="s">
        <v>105</v>
      </c>
      <c r="B142" s="61">
        <f t="shared" ref="B142:H142" si="33">B108*(1+$B69)</f>
        <v>34453.604970569002</v>
      </c>
      <c r="C142" s="61">
        <f t="shared" si="33"/>
        <v>29258.161357750163</v>
      </c>
      <c r="D142" s="61">
        <f t="shared" si="33"/>
        <v>24866.716869457159</v>
      </c>
      <c r="E142" s="61">
        <f t="shared" si="33"/>
        <v>18808.625655569391</v>
      </c>
      <c r="F142" s="61">
        <f t="shared" si="33"/>
        <v>12498.053565188853</v>
      </c>
      <c r="G142" s="61">
        <f t="shared" si="33"/>
        <v>7208.4301075017984</v>
      </c>
      <c r="H142" s="61">
        <f t="shared" si="33"/>
        <v>3555.2451003584974</v>
      </c>
    </row>
    <row r="143" spans="1:8" x14ac:dyDescent="0.35">
      <c r="A143" s="5" t="s">
        <v>104</v>
      </c>
      <c r="B143" s="61">
        <f t="shared" ref="B143:H143" si="34">(B117+B126)*(1+$B69)</f>
        <v>7804.2285152724962</v>
      </c>
      <c r="C143" s="61">
        <f t="shared" si="34"/>
        <v>6627.3871012234649</v>
      </c>
      <c r="D143" s="61">
        <f t="shared" si="34"/>
        <v>5632.6628531208871</v>
      </c>
      <c r="E143" s="61">
        <f t="shared" si="34"/>
        <v>4260.4195642130589</v>
      </c>
      <c r="F143" s="61">
        <f t="shared" si="34"/>
        <v>2830.9857880523286</v>
      </c>
      <c r="G143" s="61">
        <f t="shared" si="34"/>
        <v>1632.8113079420741</v>
      </c>
      <c r="H143" s="61">
        <f t="shared" si="34"/>
        <v>805.3132673548032</v>
      </c>
    </row>
    <row r="144" spans="1:8" x14ac:dyDescent="0.35">
      <c r="A144" s="5" t="s">
        <v>103</v>
      </c>
      <c r="B144" s="61">
        <f t="shared" ref="B144:H144" si="35">B133*(1+$B69)</f>
        <v>12528.231486168075</v>
      </c>
      <c r="C144" s="61">
        <f t="shared" si="35"/>
        <v>10639.032364324983</v>
      </c>
      <c r="D144" s="61">
        <f t="shared" si="35"/>
        <v>9042.1883430683301</v>
      </c>
      <c r="E144" s="61">
        <f t="shared" si="35"/>
        <v>6839.3080013235412</v>
      </c>
      <c r="F144" s="61">
        <f t="shared" si="35"/>
        <v>4544.6190122910757</v>
      </c>
      <c r="G144" s="61">
        <f t="shared" si="35"/>
        <v>2621.1736367149306</v>
      </c>
      <c r="H144" s="61">
        <f t="shared" si="35"/>
        <v>1292.7800630849492</v>
      </c>
    </row>
    <row r="146" spans="1:9" x14ac:dyDescent="0.35">
      <c r="A146" s="2" t="s">
        <v>114</v>
      </c>
      <c r="B146" s="42"/>
      <c r="C146" s="42"/>
      <c r="D146" s="42"/>
      <c r="E146" s="42"/>
      <c r="F146" s="42"/>
      <c r="G146" s="42"/>
      <c r="H146" s="42"/>
    </row>
    <row r="147" spans="1:9" x14ac:dyDescent="0.35">
      <c r="A147" s="5" t="s">
        <v>41</v>
      </c>
      <c r="B147" s="23">
        <v>2019</v>
      </c>
      <c r="C147" s="23">
        <v>2020</v>
      </c>
      <c r="D147" s="23">
        <v>2021</v>
      </c>
      <c r="E147" s="23">
        <v>2022</v>
      </c>
      <c r="F147" s="23">
        <v>2023</v>
      </c>
      <c r="G147" s="23">
        <v>2024</v>
      </c>
      <c r="H147" s="23">
        <v>2025</v>
      </c>
      <c r="I147" s="166" t="s">
        <v>66</v>
      </c>
    </row>
    <row r="148" spans="1:9" x14ac:dyDescent="0.35">
      <c r="A148" s="5" t="s">
        <v>106</v>
      </c>
      <c r="B148" s="112">
        <f>$B73*B83*$C73</f>
        <v>8531</v>
      </c>
      <c r="C148" s="12"/>
      <c r="D148" s="112">
        <f t="shared" ref="D148:D154" si="36">$B73*D83*$C73</f>
        <v>6701</v>
      </c>
      <c r="E148" s="12"/>
      <c r="F148" s="112">
        <f>$B73*F83*$C73</f>
        <v>6701</v>
      </c>
      <c r="G148" s="12"/>
      <c r="H148" s="112">
        <f>$B73*H83*$C73</f>
        <v>6701</v>
      </c>
      <c r="I148" s="8">
        <v>2</v>
      </c>
    </row>
    <row r="149" spans="1:9" x14ac:dyDescent="0.35">
      <c r="A149" s="5" t="s">
        <v>107</v>
      </c>
      <c r="B149" s="112">
        <f>$B74*B84*$C74</f>
        <v>8531</v>
      </c>
      <c r="C149" s="12"/>
      <c r="D149" s="112">
        <f t="shared" si="36"/>
        <v>6701</v>
      </c>
      <c r="E149" s="12"/>
      <c r="F149" s="112">
        <f>$B74*F84*$C74</f>
        <v>6701</v>
      </c>
      <c r="G149" s="12"/>
      <c r="H149" s="112">
        <f>$B74*H84*$C74</f>
        <v>6701</v>
      </c>
      <c r="I149" s="8">
        <v>2</v>
      </c>
    </row>
    <row r="150" spans="1:9" x14ac:dyDescent="0.35">
      <c r="A150" s="5" t="s">
        <v>108</v>
      </c>
      <c r="B150" s="112">
        <f>$B75*B85*$C75</f>
        <v>8531</v>
      </c>
      <c r="C150" s="12"/>
      <c r="D150" s="112">
        <f t="shared" si="36"/>
        <v>6701</v>
      </c>
      <c r="E150" s="12"/>
      <c r="F150" s="112">
        <f>$B75*F85*$C75</f>
        <v>6701</v>
      </c>
      <c r="G150" s="12"/>
      <c r="H150" s="112">
        <f>$B75*H85*$C75</f>
        <v>6701</v>
      </c>
      <c r="I150" s="8">
        <v>2</v>
      </c>
    </row>
    <row r="151" spans="1:9" x14ac:dyDescent="0.35">
      <c r="A151" s="5" t="s">
        <v>109</v>
      </c>
      <c r="B151" s="112">
        <f>$B76*B86*$C76</f>
        <v>8531</v>
      </c>
      <c r="C151" s="12"/>
      <c r="D151" s="112">
        <f t="shared" si="36"/>
        <v>6701</v>
      </c>
      <c r="E151" s="12"/>
      <c r="F151" s="112">
        <f>$B76*F86*$C76</f>
        <v>6701</v>
      </c>
      <c r="G151" s="12"/>
      <c r="H151" s="112">
        <f>$B76*H86*$C76</f>
        <v>6701</v>
      </c>
      <c r="I151" s="8">
        <v>2</v>
      </c>
    </row>
    <row r="152" spans="1:9" x14ac:dyDescent="0.35">
      <c r="A152" s="5" t="s">
        <v>105</v>
      </c>
      <c r="B152" s="12"/>
      <c r="C152" s="12"/>
      <c r="D152" s="112">
        <f t="shared" si="36"/>
        <v>67010</v>
      </c>
      <c r="E152" s="12"/>
      <c r="F152" s="12"/>
      <c r="G152" s="3"/>
      <c r="H152" s="3"/>
      <c r="I152" s="8">
        <v>5</v>
      </c>
    </row>
    <row r="153" spans="1:9" x14ac:dyDescent="0.35">
      <c r="A153" s="5" t="s">
        <v>104</v>
      </c>
      <c r="B153" s="12"/>
      <c r="C153" s="12"/>
      <c r="D153" s="112">
        <f t="shared" si="36"/>
        <v>6701</v>
      </c>
      <c r="E153" s="12"/>
      <c r="F153" s="12"/>
      <c r="G153" s="3"/>
      <c r="H153" s="3"/>
      <c r="I153" s="8">
        <v>5</v>
      </c>
    </row>
    <row r="154" spans="1:9" x14ac:dyDescent="0.35">
      <c r="A154" s="5" t="s">
        <v>103</v>
      </c>
      <c r="B154" s="12"/>
      <c r="C154" s="12"/>
      <c r="D154" s="112">
        <f t="shared" si="36"/>
        <v>2565</v>
      </c>
      <c r="E154" s="12"/>
      <c r="F154" s="3"/>
      <c r="G154" s="112">
        <f>$B79*G89*$C79</f>
        <v>2565</v>
      </c>
      <c r="H154" s="3"/>
      <c r="I154" s="8">
        <v>3</v>
      </c>
    </row>
    <row r="156" spans="1:9" x14ac:dyDescent="0.35">
      <c r="A156" s="2" t="s">
        <v>67</v>
      </c>
      <c r="B156" s="42"/>
      <c r="C156" s="42"/>
      <c r="D156" s="42"/>
      <c r="E156" s="42"/>
      <c r="F156" s="42"/>
      <c r="G156" s="42"/>
      <c r="H156" s="42"/>
    </row>
    <row r="157" spans="1:9" x14ac:dyDescent="0.35">
      <c r="A157" s="5" t="s">
        <v>41</v>
      </c>
      <c r="B157" s="23">
        <v>2019</v>
      </c>
      <c r="C157" s="23">
        <v>2020</v>
      </c>
      <c r="D157" s="23">
        <v>2021</v>
      </c>
      <c r="E157" s="23">
        <v>2022</v>
      </c>
      <c r="F157" s="23">
        <v>2023</v>
      </c>
      <c r="G157" s="23">
        <v>2024</v>
      </c>
      <c r="H157" s="23">
        <v>2025</v>
      </c>
    </row>
    <row r="158" spans="1:9" x14ac:dyDescent="0.35">
      <c r="A158" s="5" t="s">
        <v>106</v>
      </c>
      <c r="B158" s="61">
        <f t="shared" ref="B158:C161" si="37">B138+B148</f>
        <v>9679.193036041539</v>
      </c>
      <c r="C158" s="61">
        <f t="shared" si="37"/>
        <v>975.05085888821009</v>
      </c>
      <c r="D158" s="61">
        <f>D138+D148</f>
        <v>7529.7025744654857</v>
      </c>
      <c r="E158" s="61">
        <f>E138+E148</f>
        <v>626.81199873524736</v>
      </c>
      <c r="F158" s="61">
        <f>F138+F148</f>
        <v>7117.5073024980175</v>
      </c>
      <c r="G158" s="61">
        <f>G138+G148</f>
        <v>240.22650916488527</v>
      </c>
      <c r="H158" s="61">
        <f>H138+H148</f>
        <v>6819.4812930066228</v>
      </c>
    </row>
    <row r="159" spans="1:9" x14ac:dyDescent="0.35">
      <c r="A159" s="5" t="s">
        <v>107</v>
      </c>
      <c r="B159" s="61">
        <f t="shared" si="37"/>
        <v>11467.622741949559</v>
      </c>
      <c r="C159" s="61">
        <f t="shared" si="37"/>
        <v>2493.7936713500303</v>
      </c>
      <c r="D159" s="61">
        <f t="shared" ref="B159:D164" si="38">D139+D149</f>
        <v>8820.4927595776244</v>
      </c>
      <c r="E159" s="61">
        <f t="shared" ref="E159:H164" si="39">E139+E149</f>
        <v>1603.1366787929137</v>
      </c>
      <c r="F159" s="61">
        <f t="shared" si="39"/>
        <v>7766.2606123797214</v>
      </c>
      <c r="G159" s="61">
        <f t="shared" si="39"/>
        <v>614.4042054677941</v>
      </c>
      <c r="H159" s="61">
        <f t="shared" si="39"/>
        <v>7004.0281917911325</v>
      </c>
    </row>
    <row r="160" spans="1:9" x14ac:dyDescent="0.35">
      <c r="A160" s="5" t="s">
        <v>108</v>
      </c>
      <c r="B160" s="61">
        <f t="shared" si="37"/>
        <v>12293.05183698403</v>
      </c>
      <c r="C160" s="61">
        <f t="shared" si="37"/>
        <v>3194.7518924862552</v>
      </c>
      <c r="D160" s="61">
        <f t="shared" si="38"/>
        <v>9416.242075783226</v>
      </c>
      <c r="E160" s="61">
        <f t="shared" si="39"/>
        <v>2053.7480695887598</v>
      </c>
      <c r="F160" s="61">
        <f t="shared" si="39"/>
        <v>8065.6852169405083</v>
      </c>
      <c r="G160" s="61">
        <f t="shared" si="39"/>
        <v>787.10160376144438</v>
      </c>
      <c r="H160" s="61">
        <f t="shared" si="39"/>
        <v>7089.2036835378294</v>
      </c>
    </row>
    <row r="161" spans="1:12" x14ac:dyDescent="0.35">
      <c r="A161" s="5" t="s">
        <v>109</v>
      </c>
      <c r="B161" s="61">
        <f t="shared" si="37"/>
        <v>30981.613142508071</v>
      </c>
      <c r="C161" s="61">
        <f t="shared" si="37"/>
        <v>19065.16495051924</v>
      </c>
      <c r="D161" s="61">
        <f t="shared" si="38"/>
        <v>22904.617619617766</v>
      </c>
      <c r="E161" s="61">
        <f t="shared" si="39"/>
        <v>12256.052122735735</v>
      </c>
      <c r="F161" s="61">
        <f t="shared" si="39"/>
        <v>14844.965366355242</v>
      </c>
      <c r="G161" s="61">
        <f t="shared" si="39"/>
        <v>4697.1478266663971</v>
      </c>
      <c r="H161" s="61">
        <f t="shared" si="39"/>
        <v>9017.6641761617593</v>
      </c>
    </row>
    <row r="162" spans="1:12" x14ac:dyDescent="0.35">
      <c r="A162" s="5" t="s">
        <v>105</v>
      </c>
      <c r="B162" s="61">
        <f t="shared" si="38"/>
        <v>34453.604970569002</v>
      </c>
      <c r="C162" s="61">
        <f t="shared" si="38"/>
        <v>29258.161357750163</v>
      </c>
      <c r="D162" s="61">
        <f t="shared" si="38"/>
        <v>91876.716869457159</v>
      </c>
      <c r="E162" s="61">
        <f t="shared" si="39"/>
        <v>18808.625655569391</v>
      </c>
      <c r="F162" s="61">
        <f t="shared" si="39"/>
        <v>12498.053565188853</v>
      </c>
      <c r="G162" s="61">
        <f t="shared" si="39"/>
        <v>7208.4301075017984</v>
      </c>
      <c r="H162" s="61">
        <f t="shared" si="39"/>
        <v>3555.2451003584974</v>
      </c>
    </row>
    <row r="163" spans="1:12" x14ac:dyDescent="0.35">
      <c r="A163" s="5" t="s">
        <v>104</v>
      </c>
      <c r="B163" s="61">
        <f t="shared" si="38"/>
        <v>7804.2285152724962</v>
      </c>
      <c r="C163" s="61">
        <f t="shared" si="38"/>
        <v>6627.3871012234649</v>
      </c>
      <c r="D163" s="61">
        <f t="shared" si="38"/>
        <v>12333.662853120888</v>
      </c>
      <c r="E163" s="61">
        <f t="shared" si="39"/>
        <v>4260.4195642130589</v>
      </c>
      <c r="F163" s="61">
        <f t="shared" si="39"/>
        <v>2830.9857880523286</v>
      </c>
      <c r="G163" s="61">
        <f t="shared" si="39"/>
        <v>1632.8113079420741</v>
      </c>
      <c r="H163" s="61">
        <f t="shared" si="39"/>
        <v>805.3132673548032</v>
      </c>
    </row>
    <row r="164" spans="1:12" x14ac:dyDescent="0.35">
      <c r="A164" s="5" t="s">
        <v>103</v>
      </c>
      <c r="B164" s="61">
        <f t="shared" si="38"/>
        <v>12528.231486168075</v>
      </c>
      <c r="C164" s="61">
        <f t="shared" si="38"/>
        <v>10639.032364324983</v>
      </c>
      <c r="D164" s="61">
        <f t="shared" si="38"/>
        <v>11607.18834306833</v>
      </c>
      <c r="E164" s="61">
        <f t="shared" si="39"/>
        <v>6839.3080013235412</v>
      </c>
      <c r="F164" s="61">
        <f t="shared" si="39"/>
        <v>4544.6190122910757</v>
      </c>
      <c r="G164" s="61">
        <f t="shared" si="39"/>
        <v>5186.1736367149306</v>
      </c>
      <c r="H164" s="61">
        <f t="shared" si="39"/>
        <v>1292.7800630849492</v>
      </c>
    </row>
    <row r="166" spans="1:12" x14ac:dyDescent="0.35">
      <c r="A166" s="2" t="s">
        <v>225</v>
      </c>
      <c r="B166" s="42"/>
      <c r="C166" s="42"/>
      <c r="D166" s="42"/>
      <c r="E166" s="42"/>
      <c r="F166" s="42"/>
      <c r="G166" s="42"/>
      <c r="H166" s="42"/>
    </row>
    <row r="167" spans="1:12" x14ac:dyDescent="0.35">
      <c r="A167" s="5" t="s">
        <v>41</v>
      </c>
      <c r="B167" s="23">
        <v>2019</v>
      </c>
      <c r="C167" s="23">
        <v>2020</v>
      </c>
      <c r="D167" s="23">
        <v>2021</v>
      </c>
      <c r="E167" s="23">
        <v>2022</v>
      </c>
      <c r="F167" s="23">
        <v>2023</v>
      </c>
      <c r="G167" s="23">
        <v>2024</v>
      </c>
      <c r="H167" s="23">
        <v>2025</v>
      </c>
    </row>
    <row r="168" spans="1:12" x14ac:dyDescent="0.35">
      <c r="A168" s="5" t="s">
        <v>44</v>
      </c>
      <c r="B168" s="113">
        <f t="shared" ref="B168:H173" si="40">B158*$B$6</f>
        <v>7743.3544288332314</v>
      </c>
      <c r="C168" s="113">
        <f t="shared" si="40"/>
        <v>780.04068711056811</v>
      </c>
      <c r="D168" s="61">
        <f t="shared" si="40"/>
        <v>6023.7620595723893</v>
      </c>
      <c r="E168" s="61">
        <f t="shared" si="40"/>
        <v>501.44959898819792</v>
      </c>
      <c r="F168" s="61">
        <f t="shared" si="40"/>
        <v>5694.0058419984143</v>
      </c>
      <c r="G168" s="61">
        <f t="shared" si="40"/>
        <v>192.18120733190824</v>
      </c>
      <c r="H168" s="61">
        <f t="shared" si="40"/>
        <v>5455.5850344052988</v>
      </c>
      <c r="J168" s="17">
        <f t="shared" ref="J168:L171" si="41">D168+D190</f>
        <v>6023.7620595723893</v>
      </c>
      <c r="K168" s="17">
        <f t="shared" si="41"/>
        <v>501.44959898819792</v>
      </c>
      <c r="L168" s="17">
        <f t="shared" si="41"/>
        <v>5694.0058419984143</v>
      </c>
    </row>
    <row r="169" spans="1:12" x14ac:dyDescent="0.35">
      <c r="A169" s="5" t="s">
        <v>45</v>
      </c>
      <c r="B169" s="113">
        <f t="shared" si="40"/>
        <v>9174.0981935596483</v>
      </c>
      <c r="C169" s="113">
        <f t="shared" si="40"/>
        <v>1995.0349370800243</v>
      </c>
      <c r="D169" s="61">
        <f t="shared" si="40"/>
        <v>7056.3942076620997</v>
      </c>
      <c r="E169" s="61">
        <f t="shared" si="40"/>
        <v>1282.5093430343311</v>
      </c>
      <c r="F169" s="61">
        <f t="shared" si="40"/>
        <v>6213.0084899037774</v>
      </c>
      <c r="G169" s="61">
        <f t="shared" si="40"/>
        <v>491.52336437423531</v>
      </c>
      <c r="H169" s="61">
        <f t="shared" si="40"/>
        <v>5603.2225534329064</v>
      </c>
      <c r="J169" s="17">
        <f t="shared" si="41"/>
        <v>7056.3942076620997</v>
      </c>
      <c r="K169" s="17">
        <f t="shared" si="41"/>
        <v>1282.5093430343311</v>
      </c>
      <c r="L169" s="17">
        <f t="shared" si="41"/>
        <v>6213.0084899037774</v>
      </c>
    </row>
    <row r="170" spans="1:12" x14ac:dyDescent="0.35">
      <c r="A170" s="5" t="s">
        <v>46</v>
      </c>
      <c r="B170" s="113">
        <f t="shared" si="40"/>
        <v>9834.4414695872256</v>
      </c>
      <c r="C170" s="113">
        <f t="shared" si="40"/>
        <v>2555.8015139890044</v>
      </c>
      <c r="D170" s="61">
        <f t="shared" si="40"/>
        <v>7532.993660626581</v>
      </c>
      <c r="E170" s="61">
        <f t="shared" si="40"/>
        <v>1642.9984556710078</v>
      </c>
      <c r="F170" s="61">
        <f t="shared" si="40"/>
        <v>6452.5481735524072</v>
      </c>
      <c r="G170" s="61">
        <f t="shared" si="40"/>
        <v>629.68128300915555</v>
      </c>
      <c r="H170" s="61">
        <f t="shared" si="40"/>
        <v>5671.3629468302643</v>
      </c>
      <c r="J170" s="17">
        <f t="shared" si="41"/>
        <v>7532.993660626581</v>
      </c>
      <c r="K170" s="17">
        <f t="shared" si="41"/>
        <v>1642.9984556710078</v>
      </c>
      <c r="L170" s="17">
        <f t="shared" si="41"/>
        <v>6452.5481735524072</v>
      </c>
    </row>
    <row r="171" spans="1:12" x14ac:dyDescent="0.35">
      <c r="A171" s="5" t="s">
        <v>47</v>
      </c>
      <c r="B171" s="113">
        <f t="shared" si="40"/>
        <v>24785.290514006458</v>
      </c>
      <c r="C171" s="113">
        <f t="shared" si="40"/>
        <v>15252.131960415392</v>
      </c>
      <c r="D171" s="61">
        <f t="shared" si="40"/>
        <v>18323.694095694213</v>
      </c>
      <c r="E171" s="61">
        <f t="shared" si="40"/>
        <v>9804.8416981885875</v>
      </c>
      <c r="F171" s="61">
        <f t="shared" si="40"/>
        <v>11875.972293084194</v>
      </c>
      <c r="G171" s="61">
        <f t="shared" si="40"/>
        <v>3757.7182613331179</v>
      </c>
      <c r="H171" s="61">
        <f t="shared" si="40"/>
        <v>7214.131340929408</v>
      </c>
      <c r="J171" s="17">
        <f t="shared" si="41"/>
        <v>18323.694095694213</v>
      </c>
      <c r="K171" s="17">
        <f t="shared" si="41"/>
        <v>9804.8416981885875</v>
      </c>
      <c r="L171" s="17">
        <f t="shared" si="41"/>
        <v>11875.972293084194</v>
      </c>
    </row>
    <row r="172" spans="1:12" x14ac:dyDescent="0.35">
      <c r="A172" s="5" t="s">
        <v>48</v>
      </c>
      <c r="B172" s="113">
        <f t="shared" si="40"/>
        <v>27562.883976455203</v>
      </c>
      <c r="C172" s="113">
        <f t="shared" si="40"/>
        <v>23406.529086200131</v>
      </c>
      <c r="D172" s="61">
        <f t="shared" si="40"/>
        <v>73501.373495565727</v>
      </c>
      <c r="E172" s="61">
        <f t="shared" si="40"/>
        <v>15046.900524455514</v>
      </c>
      <c r="F172" s="61">
        <f t="shared" si="40"/>
        <v>9998.4428521510836</v>
      </c>
      <c r="G172" s="61">
        <f t="shared" si="40"/>
        <v>5766.7440860014394</v>
      </c>
      <c r="H172" s="61">
        <f t="shared" si="40"/>
        <v>2844.196080286798</v>
      </c>
    </row>
    <row r="173" spans="1:12" x14ac:dyDescent="0.35">
      <c r="A173" s="5" t="s">
        <v>49</v>
      </c>
      <c r="B173" s="113">
        <f t="shared" si="40"/>
        <v>6243.3828122179975</v>
      </c>
      <c r="C173" s="113">
        <f t="shared" si="40"/>
        <v>5301.9096809787725</v>
      </c>
      <c r="D173" s="61">
        <f t="shared" si="40"/>
        <v>9866.9302824967108</v>
      </c>
      <c r="E173" s="61">
        <f t="shared" si="40"/>
        <v>3408.3356513704475</v>
      </c>
      <c r="F173" s="61">
        <f t="shared" si="40"/>
        <v>2264.788630441863</v>
      </c>
      <c r="G173" s="61">
        <f t="shared" si="40"/>
        <v>1306.2490463536594</v>
      </c>
      <c r="H173" s="61">
        <f t="shared" si="40"/>
        <v>644.25061388384256</v>
      </c>
    </row>
    <row r="175" spans="1:12" x14ac:dyDescent="0.35">
      <c r="A175" s="2" t="s">
        <v>226</v>
      </c>
      <c r="B175" s="42"/>
      <c r="C175" s="42"/>
      <c r="D175" s="42"/>
      <c r="E175" s="42"/>
      <c r="F175" s="42"/>
      <c r="G175" s="42"/>
      <c r="H175" s="42"/>
    </row>
    <row r="176" spans="1:12" x14ac:dyDescent="0.35">
      <c r="A176" s="5" t="s">
        <v>41</v>
      </c>
      <c r="B176" s="23">
        <v>2019</v>
      </c>
      <c r="C176" s="23">
        <v>2020</v>
      </c>
      <c r="D176" s="23">
        <v>2021</v>
      </c>
      <c r="E176" s="23">
        <v>2022</v>
      </c>
      <c r="F176" s="23">
        <v>2023</v>
      </c>
      <c r="G176" s="23">
        <v>2024</v>
      </c>
      <c r="H176" s="23">
        <v>2025</v>
      </c>
    </row>
    <row r="177" spans="1:9" x14ac:dyDescent="0.35">
      <c r="A177" s="5" t="s">
        <v>44</v>
      </c>
      <c r="B177" s="113">
        <f t="shared" ref="B177:H182" si="42">B158*(1-$B$6)</f>
        <v>1935.8386072083074</v>
      </c>
      <c r="C177" s="113">
        <f t="shared" si="42"/>
        <v>195.01017177764197</v>
      </c>
      <c r="D177" s="61">
        <f t="shared" si="42"/>
        <v>1505.9405148930969</v>
      </c>
      <c r="E177" s="61">
        <f t="shared" si="42"/>
        <v>125.36239974704944</v>
      </c>
      <c r="F177" s="61">
        <f t="shared" si="42"/>
        <v>1423.5014604996031</v>
      </c>
      <c r="G177" s="61">
        <f t="shared" si="42"/>
        <v>48.045301832977046</v>
      </c>
      <c r="H177" s="61">
        <f t="shared" si="42"/>
        <v>1363.8962586013242</v>
      </c>
    </row>
    <row r="178" spans="1:9" x14ac:dyDescent="0.35">
      <c r="A178" s="5" t="s">
        <v>45</v>
      </c>
      <c r="B178" s="113">
        <f t="shared" si="42"/>
        <v>2293.5245483899112</v>
      </c>
      <c r="C178" s="113">
        <f t="shared" si="42"/>
        <v>498.75873427000596</v>
      </c>
      <c r="D178" s="61">
        <f t="shared" si="42"/>
        <v>1764.0985519155245</v>
      </c>
      <c r="E178" s="61">
        <f t="shared" si="42"/>
        <v>320.62733575858266</v>
      </c>
      <c r="F178" s="61">
        <f t="shared" si="42"/>
        <v>1553.2521224759439</v>
      </c>
      <c r="G178" s="61">
        <f t="shared" si="42"/>
        <v>122.88084109355879</v>
      </c>
      <c r="H178" s="61">
        <f t="shared" si="42"/>
        <v>1400.8056383582261</v>
      </c>
    </row>
    <row r="179" spans="1:9" x14ac:dyDescent="0.35">
      <c r="A179" s="5" t="s">
        <v>46</v>
      </c>
      <c r="B179" s="113">
        <f t="shared" si="42"/>
        <v>2458.6103673968055</v>
      </c>
      <c r="C179" s="113">
        <f t="shared" si="42"/>
        <v>638.95037849725088</v>
      </c>
      <c r="D179" s="61">
        <f t="shared" si="42"/>
        <v>1883.2484151566448</v>
      </c>
      <c r="E179" s="61">
        <f t="shared" si="42"/>
        <v>410.74961391775184</v>
      </c>
      <c r="F179" s="61">
        <f t="shared" si="42"/>
        <v>1613.1370433881013</v>
      </c>
      <c r="G179" s="61">
        <f t="shared" si="42"/>
        <v>157.42032075228883</v>
      </c>
      <c r="H179" s="61">
        <f t="shared" si="42"/>
        <v>1417.8407367075656</v>
      </c>
    </row>
    <row r="180" spans="1:9" x14ac:dyDescent="0.35">
      <c r="A180" s="5" t="s">
        <v>47</v>
      </c>
      <c r="B180" s="113">
        <f t="shared" si="42"/>
        <v>6196.3226285016126</v>
      </c>
      <c r="C180" s="113">
        <f t="shared" si="42"/>
        <v>3813.0329901038472</v>
      </c>
      <c r="D180" s="61">
        <f t="shared" si="42"/>
        <v>4580.9235239235522</v>
      </c>
      <c r="E180" s="61">
        <f t="shared" si="42"/>
        <v>2451.2104245471464</v>
      </c>
      <c r="F180" s="61">
        <f t="shared" si="42"/>
        <v>2968.9930732710477</v>
      </c>
      <c r="G180" s="61">
        <f t="shared" si="42"/>
        <v>939.42956533327924</v>
      </c>
      <c r="H180" s="61">
        <f t="shared" si="42"/>
        <v>1803.5328352323515</v>
      </c>
    </row>
    <row r="181" spans="1:9" x14ac:dyDescent="0.35">
      <c r="A181" s="5" t="s">
        <v>48</v>
      </c>
      <c r="B181" s="113">
        <f t="shared" si="42"/>
        <v>6890.720994113799</v>
      </c>
      <c r="C181" s="113">
        <f t="shared" si="42"/>
        <v>5851.632271550031</v>
      </c>
      <c r="D181" s="61">
        <f t="shared" si="42"/>
        <v>18375.343373891428</v>
      </c>
      <c r="E181" s="61">
        <f t="shared" si="42"/>
        <v>3761.7251311138775</v>
      </c>
      <c r="F181" s="61">
        <f t="shared" si="42"/>
        <v>2499.61071303777</v>
      </c>
      <c r="G181" s="61">
        <f t="shared" si="42"/>
        <v>1441.6860215003594</v>
      </c>
      <c r="H181" s="61">
        <f t="shared" si="42"/>
        <v>711.04902007169937</v>
      </c>
    </row>
    <row r="182" spans="1:9" x14ac:dyDescent="0.35">
      <c r="A182" s="5" t="s">
        <v>49</v>
      </c>
      <c r="B182" s="113">
        <f t="shared" si="42"/>
        <v>1560.8457030544989</v>
      </c>
      <c r="C182" s="113">
        <f t="shared" si="42"/>
        <v>1325.4774202446927</v>
      </c>
      <c r="D182" s="61">
        <f t="shared" si="42"/>
        <v>2466.7325706241772</v>
      </c>
      <c r="E182" s="61">
        <f t="shared" si="42"/>
        <v>852.08391284261165</v>
      </c>
      <c r="F182" s="61">
        <f t="shared" si="42"/>
        <v>566.19715761046564</v>
      </c>
      <c r="G182" s="61">
        <f t="shared" si="42"/>
        <v>326.56226158841474</v>
      </c>
      <c r="H182" s="61">
        <f t="shared" si="42"/>
        <v>161.06265347096061</v>
      </c>
    </row>
    <row r="183" spans="1:9" x14ac:dyDescent="0.35">
      <c r="A183" s="5" t="s">
        <v>50</v>
      </c>
      <c r="B183" s="113">
        <f t="shared" ref="B183:H183" si="43">B164</f>
        <v>12528.231486168075</v>
      </c>
      <c r="C183" s="113">
        <f t="shared" si="43"/>
        <v>10639.032364324983</v>
      </c>
      <c r="D183" s="61">
        <f t="shared" si="43"/>
        <v>11607.18834306833</v>
      </c>
      <c r="E183" s="61">
        <f t="shared" si="43"/>
        <v>6839.3080013235412</v>
      </c>
      <c r="F183" s="61">
        <f t="shared" si="43"/>
        <v>4544.6190122910757</v>
      </c>
      <c r="G183" s="61">
        <f t="shared" si="43"/>
        <v>5186.1736367149306</v>
      </c>
      <c r="H183" s="61">
        <f t="shared" si="43"/>
        <v>1292.7800630849492</v>
      </c>
    </row>
    <row r="185" spans="1:9" hidden="1" x14ac:dyDescent="0.35"/>
    <row r="186" spans="1:9" hidden="1" x14ac:dyDescent="0.35">
      <c r="A186" s="129" t="s">
        <v>263</v>
      </c>
      <c r="B186" s="42"/>
      <c r="C186" s="42"/>
      <c r="D186" s="42"/>
      <c r="E186" s="42"/>
      <c r="F186" s="42"/>
      <c r="G186" s="42"/>
      <c r="H186" s="42"/>
    </row>
    <row r="187" spans="1:9" s="34" customFormat="1" hidden="1" x14ac:dyDescent="0.35">
      <c r="A187" s="116" t="s">
        <v>124</v>
      </c>
      <c r="B187" s="34">
        <v>0</v>
      </c>
      <c r="D187" s="34">
        <v>200</v>
      </c>
      <c r="E187" s="34">
        <f>D187*1.2</f>
        <v>240</v>
      </c>
      <c r="F187" s="34">
        <f>E187*1.2</f>
        <v>288</v>
      </c>
      <c r="G187" s="34">
        <f>F187*1.2</f>
        <v>345.59999999999997</v>
      </c>
      <c r="H187" s="34">
        <f>G187*1.2</f>
        <v>414.71999999999997</v>
      </c>
      <c r="I187" s="34" t="s">
        <v>269</v>
      </c>
    </row>
    <row r="188" spans="1:9" s="34" customFormat="1" hidden="1" x14ac:dyDescent="0.35">
      <c r="A188" s="116" t="s">
        <v>125</v>
      </c>
      <c r="B188" s="34">
        <v>1</v>
      </c>
      <c r="C188" s="34" t="s">
        <v>267</v>
      </c>
    </row>
    <row r="189" spans="1:9" hidden="1" x14ac:dyDescent="0.35">
      <c r="A189" s="5" t="s">
        <v>41</v>
      </c>
      <c r="B189" s="23">
        <v>2019</v>
      </c>
      <c r="C189" s="23">
        <v>2020</v>
      </c>
      <c r="D189" s="23">
        <v>2021</v>
      </c>
      <c r="E189" s="23">
        <v>2022</v>
      </c>
      <c r="F189" s="23">
        <v>2023</v>
      </c>
      <c r="G189" s="23">
        <v>2024</v>
      </c>
      <c r="H189" s="23">
        <v>2025</v>
      </c>
    </row>
    <row r="190" spans="1:9" hidden="1" x14ac:dyDescent="0.35">
      <c r="A190" s="5" t="s">
        <v>44</v>
      </c>
      <c r="B190" s="113">
        <f t="shared" ref="B190:H195" si="44">$B$187*$B$188*$B73</f>
        <v>0</v>
      </c>
      <c r="C190" s="113">
        <f t="shared" si="44"/>
        <v>0</v>
      </c>
      <c r="D190" s="61">
        <f t="shared" si="44"/>
        <v>0</v>
      </c>
      <c r="E190" s="61">
        <f t="shared" si="44"/>
        <v>0</v>
      </c>
      <c r="F190" s="61">
        <f t="shared" si="44"/>
        <v>0</v>
      </c>
      <c r="G190" s="61">
        <f t="shared" si="44"/>
        <v>0</v>
      </c>
      <c r="H190" s="61">
        <f t="shared" si="44"/>
        <v>0</v>
      </c>
    </row>
    <row r="191" spans="1:9" hidden="1" x14ac:dyDescent="0.35">
      <c r="A191" s="5" t="s">
        <v>45</v>
      </c>
      <c r="B191" s="113">
        <f t="shared" si="44"/>
        <v>0</v>
      </c>
      <c r="C191" s="113">
        <f t="shared" si="44"/>
        <v>0</v>
      </c>
      <c r="D191" s="61">
        <f t="shared" si="44"/>
        <v>0</v>
      </c>
      <c r="E191" s="61">
        <f t="shared" si="44"/>
        <v>0</v>
      </c>
      <c r="F191" s="61">
        <f t="shared" si="44"/>
        <v>0</v>
      </c>
      <c r="G191" s="61">
        <f t="shared" si="44"/>
        <v>0</v>
      </c>
      <c r="H191" s="61">
        <f t="shared" si="44"/>
        <v>0</v>
      </c>
    </row>
    <row r="192" spans="1:9" hidden="1" x14ac:dyDescent="0.35">
      <c r="A192" s="5" t="s">
        <v>46</v>
      </c>
      <c r="B192" s="113">
        <f t="shared" si="44"/>
        <v>0</v>
      </c>
      <c r="C192" s="113">
        <f t="shared" si="44"/>
        <v>0</v>
      </c>
      <c r="D192" s="61">
        <f t="shared" si="44"/>
        <v>0</v>
      </c>
      <c r="E192" s="61">
        <f t="shared" si="44"/>
        <v>0</v>
      </c>
      <c r="F192" s="61">
        <f t="shared" si="44"/>
        <v>0</v>
      </c>
      <c r="G192" s="61">
        <f t="shared" si="44"/>
        <v>0</v>
      </c>
      <c r="H192" s="61">
        <f t="shared" si="44"/>
        <v>0</v>
      </c>
    </row>
    <row r="193" spans="1:8" hidden="1" x14ac:dyDescent="0.35">
      <c r="A193" s="5" t="s">
        <v>47</v>
      </c>
      <c r="B193" s="113">
        <f t="shared" si="44"/>
        <v>0</v>
      </c>
      <c r="C193" s="113">
        <f t="shared" si="44"/>
        <v>0</v>
      </c>
      <c r="D193" s="61">
        <f t="shared" si="44"/>
        <v>0</v>
      </c>
      <c r="E193" s="61">
        <f t="shared" si="44"/>
        <v>0</v>
      </c>
      <c r="F193" s="61">
        <f t="shared" si="44"/>
        <v>0</v>
      </c>
      <c r="G193" s="61">
        <f t="shared" si="44"/>
        <v>0</v>
      </c>
      <c r="H193" s="61">
        <f t="shared" si="44"/>
        <v>0</v>
      </c>
    </row>
    <row r="194" spans="1:8" hidden="1" x14ac:dyDescent="0.35">
      <c r="A194" s="5" t="s">
        <v>48</v>
      </c>
      <c r="B194" s="113">
        <f t="shared" si="44"/>
        <v>0</v>
      </c>
      <c r="C194" s="113">
        <f t="shared" si="44"/>
        <v>0</v>
      </c>
      <c r="D194" s="61">
        <f t="shared" si="44"/>
        <v>0</v>
      </c>
      <c r="E194" s="61">
        <f t="shared" si="44"/>
        <v>0</v>
      </c>
      <c r="F194" s="61">
        <f t="shared" si="44"/>
        <v>0</v>
      </c>
      <c r="G194" s="61">
        <f t="shared" si="44"/>
        <v>0</v>
      </c>
      <c r="H194" s="61">
        <f t="shared" si="44"/>
        <v>0</v>
      </c>
    </row>
    <row r="195" spans="1:8" hidden="1" x14ac:dyDescent="0.35">
      <c r="A195" s="5" t="s">
        <v>49</v>
      </c>
      <c r="B195" s="113">
        <f t="shared" si="44"/>
        <v>0</v>
      </c>
      <c r="C195" s="113">
        <f t="shared" si="44"/>
        <v>0</v>
      </c>
      <c r="D195" s="61">
        <f t="shared" si="44"/>
        <v>0</v>
      </c>
      <c r="E195" s="61">
        <f t="shared" si="44"/>
        <v>0</v>
      </c>
      <c r="F195" s="61">
        <f t="shared" si="44"/>
        <v>0</v>
      </c>
      <c r="G195" s="61">
        <f t="shared" si="44"/>
        <v>0</v>
      </c>
      <c r="H195" s="61">
        <f t="shared" si="44"/>
        <v>0</v>
      </c>
    </row>
    <row r="196" spans="1:8" hidden="1" x14ac:dyDescent="0.35">
      <c r="B196" s="17"/>
    </row>
    <row r="197" spans="1:8" hidden="1" x14ac:dyDescent="0.35">
      <c r="A197" t="s">
        <v>85</v>
      </c>
      <c r="B197" t="s">
        <v>264</v>
      </c>
      <c r="C197" t="s">
        <v>268</v>
      </c>
    </row>
    <row r="198" spans="1:8" x14ac:dyDescent="0.35">
      <c r="B198" s="17"/>
    </row>
  </sheetData>
  <mergeCells count="1">
    <mergeCell ref="B9:H9"/>
  </mergeCells>
  <pageMargins left="0.75" right="0.75" top="1" bottom="1" header="0.5" footer="0.5"/>
  <pageSetup paperSize="9" orientation="portrait" horizontalDpi="4294967292" verticalDpi="4294967292"/>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A17" sqref="A17:J17"/>
    </sheetView>
  </sheetViews>
  <sheetFormatPr defaultRowHeight="15.5" x14ac:dyDescent="0.35"/>
  <cols>
    <col min="1" max="2" width="11.1640625" customWidth="1"/>
    <col min="4" max="4" width="9.25" bestFit="1" customWidth="1"/>
    <col min="5" max="10" width="8.75" bestFit="1" customWidth="1"/>
  </cols>
  <sheetData>
    <row r="1" spans="1:10" x14ac:dyDescent="0.35">
      <c r="A1" s="371" t="s">
        <v>169</v>
      </c>
      <c r="B1" s="371"/>
      <c r="C1" s="371"/>
      <c r="D1" s="371"/>
      <c r="E1" s="371"/>
      <c r="F1" s="371"/>
      <c r="G1" s="371"/>
      <c r="H1" s="371"/>
      <c r="I1" s="371"/>
      <c r="J1" s="371"/>
    </row>
    <row r="2" spans="1:10" x14ac:dyDescent="0.35">
      <c r="C2" s="3" t="s">
        <v>20</v>
      </c>
      <c r="D2" s="3" t="s">
        <v>2</v>
      </c>
      <c r="E2" s="3" t="s">
        <v>159</v>
      </c>
      <c r="F2" s="3" t="s">
        <v>160</v>
      </c>
      <c r="G2" s="3" t="s">
        <v>163</v>
      </c>
      <c r="H2" s="3" t="s">
        <v>161</v>
      </c>
      <c r="I2" s="3" t="s">
        <v>162</v>
      </c>
      <c r="J2" s="3" t="s">
        <v>164</v>
      </c>
    </row>
    <row r="3" spans="1:10" x14ac:dyDescent="0.35">
      <c r="C3" s="3">
        <v>2017</v>
      </c>
      <c r="D3" s="3">
        <f>API!L4</f>
        <v>29247</v>
      </c>
      <c r="E3" s="3">
        <v>1855</v>
      </c>
      <c r="F3" s="3">
        <v>9867</v>
      </c>
      <c r="G3" s="3">
        <f>E3+F3</f>
        <v>11722</v>
      </c>
      <c r="H3" s="3">
        <v>13650</v>
      </c>
      <c r="I3" s="3">
        <v>3875</v>
      </c>
      <c r="J3" s="3">
        <f>H3+I3</f>
        <v>17525</v>
      </c>
    </row>
    <row r="4" spans="1:10" x14ac:dyDescent="0.35">
      <c r="C4" s="3">
        <v>2018</v>
      </c>
      <c r="D4" s="3">
        <f>API!M4</f>
        <v>10523</v>
      </c>
      <c r="E4" s="3">
        <v>1032</v>
      </c>
      <c r="F4" s="3">
        <v>2818</v>
      </c>
      <c r="G4" s="3">
        <f t="shared" ref="G4:G5" si="0">E4+F4</f>
        <v>3850</v>
      </c>
      <c r="H4" s="3">
        <v>4640</v>
      </c>
      <c r="I4" s="3">
        <v>2033</v>
      </c>
      <c r="J4" s="3">
        <f t="shared" ref="J4:J5" si="1">H4+I4</f>
        <v>6673</v>
      </c>
    </row>
    <row r="5" spans="1:10" x14ac:dyDescent="0.35">
      <c r="C5" s="3">
        <v>2019</v>
      </c>
      <c r="D5" s="3">
        <f>API!N4</f>
        <v>17225</v>
      </c>
      <c r="E5" s="3">
        <v>604</v>
      </c>
      <c r="F5" s="3">
        <v>2474</v>
      </c>
      <c r="G5" s="3">
        <f t="shared" si="0"/>
        <v>3078</v>
      </c>
      <c r="H5" s="3">
        <v>10392</v>
      </c>
      <c r="I5" s="3">
        <v>3755</v>
      </c>
      <c r="J5" s="3">
        <f t="shared" si="1"/>
        <v>14147</v>
      </c>
    </row>
    <row r="6" spans="1:10" x14ac:dyDescent="0.35">
      <c r="C6" s="372" t="s">
        <v>165</v>
      </c>
      <c r="D6" s="373"/>
      <c r="E6" s="141">
        <f t="shared" ref="E6:J6" si="2">SUM(E3:E5)/(SUM($D$3:$D$5))</f>
        <v>6.1250986928677954E-2</v>
      </c>
      <c r="F6" s="141">
        <f t="shared" si="2"/>
        <v>0.26597069918413896</v>
      </c>
      <c r="G6" s="141">
        <f t="shared" si="2"/>
        <v>0.32722168611281693</v>
      </c>
      <c r="H6" s="141">
        <f t="shared" si="2"/>
        <v>0.50323712606368975</v>
      </c>
      <c r="I6" s="141">
        <f t="shared" si="2"/>
        <v>0.16954118782349328</v>
      </c>
      <c r="J6" s="141">
        <f t="shared" si="2"/>
        <v>0.67277831388718312</v>
      </c>
    </row>
    <row r="7" spans="1:10" x14ac:dyDescent="0.35">
      <c r="A7" s="374" t="s">
        <v>166</v>
      </c>
      <c r="B7" s="376">
        <v>1</v>
      </c>
      <c r="C7" s="3">
        <v>2021</v>
      </c>
      <c r="D7" s="138">
        <f>API!P4</f>
        <v>12432.057499999999</v>
      </c>
      <c r="E7" s="138">
        <f>$D$7*E6</f>
        <v>761.47579142907261</v>
      </c>
      <c r="F7" s="138">
        <f t="shared" ref="F7:J7" si="3">$D$7*F6</f>
        <v>3306.5630255724182</v>
      </c>
      <c r="G7" s="140">
        <f t="shared" si="3"/>
        <v>4068.0388170014912</v>
      </c>
      <c r="H7" s="138">
        <f t="shared" si="3"/>
        <v>6256.2728873585393</v>
      </c>
      <c r="I7" s="138">
        <f t="shared" si="3"/>
        <v>2107.745795639968</v>
      </c>
      <c r="J7" s="140">
        <f t="shared" si="3"/>
        <v>8364.0186829985087</v>
      </c>
    </row>
    <row r="8" spans="1:10" x14ac:dyDescent="0.35">
      <c r="A8" s="374"/>
      <c r="B8" s="377"/>
      <c r="C8" s="3">
        <v>2022</v>
      </c>
      <c r="D8" s="138">
        <f>API!Q4</f>
        <v>9403.3288299999986</v>
      </c>
      <c r="E8" s="138">
        <f>$D$8*E6</f>
        <v>575.96317125239045</v>
      </c>
      <c r="F8" s="138">
        <f t="shared" ref="F8:J8" si="4">$D$8*F6</f>
        <v>2501.009943573471</v>
      </c>
      <c r="G8" s="140">
        <f t="shared" si="4"/>
        <v>3076.9731148258616</v>
      </c>
      <c r="H8" s="138">
        <f t="shared" si="4"/>
        <v>4732.1041758410374</v>
      </c>
      <c r="I8" s="138">
        <f t="shared" si="4"/>
        <v>1594.2515393330991</v>
      </c>
      <c r="J8" s="140">
        <f t="shared" si="4"/>
        <v>6326.355715174137</v>
      </c>
    </row>
    <row r="9" spans="1:10" ht="16" thickBot="1" x14ac:dyDescent="0.4">
      <c r="A9" s="375"/>
      <c r="B9" s="377"/>
      <c r="C9" s="148">
        <v>2023</v>
      </c>
      <c r="D9" s="149">
        <f>API!R4</f>
        <v>6248.3729306199994</v>
      </c>
      <c r="E9" s="149">
        <f>$D$9*E6</f>
        <v>382.71900869891073</v>
      </c>
      <c r="F9" s="149">
        <f t="shared" ref="F9:J9" si="5">$D$9*F6</f>
        <v>1661.8841171202487</v>
      </c>
      <c r="G9" s="150">
        <f t="shared" si="5"/>
        <v>2044.6031258191595</v>
      </c>
      <c r="H9" s="149">
        <f t="shared" si="5"/>
        <v>3144.4132361793631</v>
      </c>
      <c r="I9" s="149">
        <f t="shared" si="5"/>
        <v>1059.3565686214765</v>
      </c>
      <c r="J9" s="150">
        <f t="shared" si="5"/>
        <v>4203.7698048008406</v>
      </c>
    </row>
    <row r="10" spans="1:10" x14ac:dyDescent="0.35">
      <c r="A10" s="365" t="s">
        <v>167</v>
      </c>
      <c r="B10" s="368">
        <v>0.2</v>
      </c>
      <c r="C10" s="3">
        <v>2021</v>
      </c>
      <c r="D10" s="152">
        <f>D7*$B$10</f>
        <v>2486.4115000000002</v>
      </c>
      <c r="E10" s="152">
        <f t="shared" ref="E10:J10" si="6">E7*$B$10</f>
        <v>152.29515828581452</v>
      </c>
      <c r="F10" s="152">
        <f t="shared" si="6"/>
        <v>661.31260511448363</v>
      </c>
      <c r="G10" s="153">
        <f t="shared" si="6"/>
        <v>813.60776340029827</v>
      </c>
      <c r="H10" s="152">
        <f t="shared" si="6"/>
        <v>1251.254577471708</v>
      </c>
      <c r="I10" s="152">
        <f t="shared" si="6"/>
        <v>421.54915912799362</v>
      </c>
      <c r="J10" s="154">
        <f t="shared" si="6"/>
        <v>1672.8037365997018</v>
      </c>
    </row>
    <row r="11" spans="1:10" x14ac:dyDescent="0.35">
      <c r="A11" s="366"/>
      <c r="B11" s="369"/>
      <c r="C11" s="3">
        <v>2022</v>
      </c>
      <c r="D11" s="138">
        <f t="shared" ref="D11:J12" si="7">D8*$B$10</f>
        <v>1880.6657659999998</v>
      </c>
      <c r="E11" s="138">
        <f t="shared" si="7"/>
        <v>115.19263425047809</v>
      </c>
      <c r="F11" s="138">
        <f t="shared" si="7"/>
        <v>500.20198871469421</v>
      </c>
      <c r="G11" s="139">
        <f t="shared" si="7"/>
        <v>615.3946229651724</v>
      </c>
      <c r="H11" s="138">
        <f t="shared" si="7"/>
        <v>946.42083516820753</v>
      </c>
      <c r="I11" s="138">
        <f t="shared" si="7"/>
        <v>318.85030786661986</v>
      </c>
      <c r="J11" s="155">
        <f t="shared" si="7"/>
        <v>1265.2711430348274</v>
      </c>
    </row>
    <row r="12" spans="1:10" ht="16" thickBot="1" x14ac:dyDescent="0.4">
      <c r="A12" s="367"/>
      <c r="B12" s="370"/>
      <c r="C12" s="148">
        <v>2023</v>
      </c>
      <c r="D12" s="157">
        <f t="shared" si="7"/>
        <v>1249.6745861239999</v>
      </c>
      <c r="E12" s="157">
        <f t="shared" si="7"/>
        <v>76.543801739782154</v>
      </c>
      <c r="F12" s="157">
        <f t="shared" si="7"/>
        <v>332.37682342404975</v>
      </c>
      <c r="G12" s="158">
        <f t="shared" si="7"/>
        <v>408.92062516383191</v>
      </c>
      <c r="H12" s="157">
        <f t="shared" si="7"/>
        <v>628.8826472358727</v>
      </c>
      <c r="I12" s="157">
        <f t="shared" si="7"/>
        <v>211.87131372429531</v>
      </c>
      <c r="J12" s="159">
        <f t="shared" si="7"/>
        <v>840.75396096016811</v>
      </c>
    </row>
    <row r="13" spans="1:10" x14ac:dyDescent="0.35">
      <c r="A13" s="365" t="s">
        <v>168</v>
      </c>
      <c r="B13" s="368">
        <v>0.8</v>
      </c>
      <c r="C13" s="3">
        <v>2021</v>
      </c>
      <c r="D13" s="152">
        <f>D7*$B$13</f>
        <v>9945.6460000000006</v>
      </c>
      <c r="E13" s="152">
        <f t="shared" ref="E13:J13" si="8">E7*$B$13</f>
        <v>609.18063314325809</v>
      </c>
      <c r="F13" s="152">
        <f t="shared" si="8"/>
        <v>2645.2504204579345</v>
      </c>
      <c r="G13" s="153">
        <f t="shared" si="8"/>
        <v>3254.4310536011931</v>
      </c>
      <c r="H13" s="152">
        <f t="shared" si="8"/>
        <v>5005.018309886832</v>
      </c>
      <c r="I13" s="152">
        <f t="shared" si="8"/>
        <v>1686.1966365119745</v>
      </c>
      <c r="J13" s="154">
        <f t="shared" si="8"/>
        <v>6691.2149463988071</v>
      </c>
    </row>
    <row r="14" spans="1:10" x14ac:dyDescent="0.35">
      <c r="A14" s="366"/>
      <c r="B14" s="369"/>
      <c r="C14" s="3">
        <v>2022</v>
      </c>
      <c r="D14" s="138">
        <f t="shared" ref="D14:J15" si="9">D8*$B$13</f>
        <v>7522.6630639999994</v>
      </c>
      <c r="E14" s="138">
        <f t="shared" si="9"/>
        <v>460.77053700191237</v>
      </c>
      <c r="F14" s="138">
        <f t="shared" si="9"/>
        <v>2000.8079548587768</v>
      </c>
      <c r="G14" s="139">
        <f t="shared" si="9"/>
        <v>2461.5784918606896</v>
      </c>
      <c r="H14" s="138">
        <f t="shared" si="9"/>
        <v>3785.6833406728301</v>
      </c>
      <c r="I14" s="138">
        <f t="shared" si="9"/>
        <v>1275.4012314664794</v>
      </c>
      <c r="J14" s="155">
        <f t="shared" si="9"/>
        <v>5061.0845721393098</v>
      </c>
    </row>
    <row r="15" spans="1:10" ht="16" thickBot="1" x14ac:dyDescent="0.4">
      <c r="A15" s="367"/>
      <c r="B15" s="370"/>
      <c r="C15" s="148">
        <v>2023</v>
      </c>
      <c r="D15" s="157">
        <f t="shared" si="9"/>
        <v>4998.6983444959997</v>
      </c>
      <c r="E15" s="157">
        <f t="shared" si="9"/>
        <v>306.17520695912862</v>
      </c>
      <c r="F15" s="157">
        <f t="shared" si="9"/>
        <v>1329.507293696199</v>
      </c>
      <c r="G15" s="158">
        <f t="shared" si="9"/>
        <v>1635.6825006553277</v>
      </c>
      <c r="H15" s="157">
        <f t="shared" si="9"/>
        <v>2515.5305889434908</v>
      </c>
      <c r="I15" s="157">
        <f t="shared" si="9"/>
        <v>847.48525489718122</v>
      </c>
      <c r="J15" s="159">
        <f t="shared" si="9"/>
        <v>3363.0158438406725</v>
      </c>
    </row>
    <row r="16" spans="1:10" ht="8.5" customHeight="1" x14ac:dyDescent="0.35">
      <c r="A16" s="143"/>
      <c r="B16" s="144"/>
      <c r="C16" s="14"/>
      <c r="D16" s="145"/>
      <c r="E16" s="145"/>
      <c r="F16" s="145"/>
      <c r="G16" s="146"/>
      <c r="H16" s="147"/>
      <c r="I16" s="147"/>
      <c r="J16" s="146"/>
    </row>
    <row r="17" spans="1:10" ht="31.5" customHeight="1" x14ac:dyDescent="0.35">
      <c r="A17" s="395" t="s">
        <v>400</v>
      </c>
      <c r="B17" s="395"/>
      <c r="C17" s="395"/>
      <c r="D17" s="395"/>
      <c r="E17" s="395"/>
      <c r="F17" s="395"/>
      <c r="G17" s="395"/>
      <c r="H17" s="395"/>
      <c r="I17" s="395"/>
      <c r="J17" s="395"/>
    </row>
    <row r="18" spans="1:10" x14ac:dyDescent="0.35">
      <c r="C18" s="3" t="s">
        <v>20</v>
      </c>
      <c r="D18" s="3" t="s">
        <v>2</v>
      </c>
      <c r="E18" s="3" t="s">
        <v>159</v>
      </c>
      <c r="F18" s="3" t="s">
        <v>160</v>
      </c>
      <c r="G18" s="3" t="s">
        <v>163</v>
      </c>
      <c r="H18" s="3" t="s">
        <v>161</v>
      </c>
      <c r="I18" s="3" t="s">
        <v>162</v>
      </c>
      <c r="J18" s="3" t="s">
        <v>164</v>
      </c>
    </row>
    <row r="19" spans="1:10" x14ac:dyDescent="0.35">
      <c r="C19" s="3">
        <v>2017</v>
      </c>
      <c r="D19" s="3">
        <f>G19+J19</f>
        <v>417841</v>
      </c>
      <c r="E19" s="3">
        <v>74119</v>
      </c>
      <c r="F19" s="3">
        <v>105214</v>
      </c>
      <c r="G19" s="3">
        <f>E19+F19</f>
        <v>179333</v>
      </c>
      <c r="H19" s="3">
        <v>148415</v>
      </c>
      <c r="I19" s="3">
        <v>90093</v>
      </c>
      <c r="J19" s="3">
        <f>H19+I19</f>
        <v>238508</v>
      </c>
    </row>
    <row r="20" spans="1:10" x14ac:dyDescent="0.35">
      <c r="C20" s="3">
        <v>2018</v>
      </c>
      <c r="D20" s="3">
        <f t="shared" ref="D20:D21" si="10">G20+J20</f>
        <v>426035</v>
      </c>
      <c r="E20" s="3">
        <v>71333</v>
      </c>
      <c r="F20" s="3">
        <v>97284</v>
      </c>
      <c r="G20" s="3">
        <f t="shared" ref="G20:G21" si="11">E20+F20</f>
        <v>168617</v>
      </c>
      <c r="H20" s="3">
        <v>142092</v>
      </c>
      <c r="I20" s="3">
        <v>115326</v>
      </c>
      <c r="J20" s="3">
        <f t="shared" ref="J20:J21" si="12">H20+I20</f>
        <v>257418</v>
      </c>
    </row>
    <row r="21" spans="1:10" x14ac:dyDescent="0.35">
      <c r="C21" s="3">
        <v>2019</v>
      </c>
      <c r="D21" s="3">
        <f t="shared" si="10"/>
        <v>538625</v>
      </c>
      <c r="E21" s="3">
        <v>93350</v>
      </c>
      <c r="F21" s="3">
        <v>125424</v>
      </c>
      <c r="G21" s="3">
        <f t="shared" si="11"/>
        <v>218774</v>
      </c>
      <c r="H21" s="3">
        <v>202008</v>
      </c>
      <c r="I21" s="3">
        <v>117843</v>
      </c>
      <c r="J21" s="3">
        <f t="shared" si="12"/>
        <v>319851</v>
      </c>
    </row>
    <row r="22" spans="1:10" x14ac:dyDescent="0.35">
      <c r="C22" s="372" t="s">
        <v>165</v>
      </c>
      <c r="D22" s="373"/>
      <c r="E22" s="141">
        <f>SUM(E19:E21)/(SUM($D$19:$D$21))</f>
        <v>0.17273188229158604</v>
      </c>
      <c r="F22" s="141">
        <f t="shared" ref="F22:J22" si="13">SUM(F19:F21)/(SUM($D$19:$D$21))</f>
        <v>0.23719476513941037</v>
      </c>
      <c r="G22" s="141">
        <f t="shared" si="13"/>
        <v>0.40992664743099644</v>
      </c>
      <c r="H22" s="141">
        <f t="shared" si="13"/>
        <v>0.35624929023559476</v>
      </c>
      <c r="I22" s="141">
        <f t="shared" si="13"/>
        <v>0.2338240623334088</v>
      </c>
      <c r="J22" s="141">
        <f t="shared" si="13"/>
        <v>0.59007335256900362</v>
      </c>
    </row>
    <row r="23" spans="1:10" x14ac:dyDescent="0.35">
      <c r="A23" s="374" t="s">
        <v>85</v>
      </c>
      <c r="B23" s="164">
        <v>1</v>
      </c>
      <c r="C23" s="3">
        <v>2021</v>
      </c>
      <c r="D23" s="138">
        <v>224408.10588337501</v>
      </c>
      <c r="E23" s="138">
        <f>$D$23*E22</f>
        <v>38762.43453072491</v>
      </c>
      <c r="F23" s="138">
        <f t="shared" ref="F23:J23" si="14">$D$23*F22</f>
        <v>53228.427970387071</v>
      </c>
      <c r="G23" s="142">
        <f t="shared" si="14"/>
        <v>91990.862501111988</v>
      </c>
      <c r="H23" s="138">
        <f t="shared" si="14"/>
        <v>79945.228444066539</v>
      </c>
      <c r="I23" s="138">
        <f t="shared" si="14"/>
        <v>52472.01493819648</v>
      </c>
      <c r="J23" s="142">
        <f t="shared" si="14"/>
        <v>132417.24338226303</v>
      </c>
    </row>
    <row r="24" spans="1:10" x14ac:dyDescent="0.35">
      <c r="A24" s="374"/>
      <c r="B24" s="165">
        <v>1</v>
      </c>
      <c r="C24" s="3">
        <v>2022</v>
      </c>
      <c r="D24" s="138">
        <v>228777.02009090164</v>
      </c>
      <c r="E24" s="138">
        <f>$D$24*E22</f>
        <v>39517.085305361434</v>
      </c>
      <c r="F24" s="138">
        <f t="shared" ref="F24:J24" si="15">$D$24*F22</f>
        <v>54264.711549755586</v>
      </c>
      <c r="G24" s="142">
        <f t="shared" si="15"/>
        <v>93781.79685511702</v>
      </c>
      <c r="H24" s="138">
        <f t="shared" si="15"/>
        <v>81501.651029598113</v>
      </c>
      <c r="I24" s="138">
        <f t="shared" si="15"/>
        <v>53493.572206186502</v>
      </c>
      <c r="J24" s="142">
        <f t="shared" si="15"/>
        <v>134995.22323578462</v>
      </c>
    </row>
    <row r="25" spans="1:10" ht="16" thickBot="1" x14ac:dyDescent="0.4">
      <c r="A25" s="375"/>
      <c r="B25" s="165">
        <v>1</v>
      </c>
      <c r="C25" s="148">
        <v>2023</v>
      </c>
      <c r="D25" s="149">
        <v>233246.11124851624</v>
      </c>
      <c r="E25" s="149">
        <f>$D$25*E22</f>
        <v>40289.03983314889</v>
      </c>
      <c r="F25" s="149">
        <f t="shared" ref="F25:J25" si="16">$D$25*F22</f>
        <v>55324.756577272594</v>
      </c>
      <c r="G25" s="160">
        <f t="shared" si="16"/>
        <v>95613.796410421492</v>
      </c>
      <c r="H25" s="149">
        <f t="shared" si="16"/>
        <v>83093.761582496489</v>
      </c>
      <c r="I25" s="149">
        <f t="shared" si="16"/>
        <v>54538.553255598265</v>
      </c>
      <c r="J25" s="160">
        <f t="shared" si="16"/>
        <v>137632.31483809475</v>
      </c>
    </row>
    <row r="26" spans="1:10" x14ac:dyDescent="0.35">
      <c r="A26" s="365" t="s">
        <v>167</v>
      </c>
      <c r="B26" s="161">
        <v>0.2</v>
      </c>
      <c r="C26" s="151">
        <v>2021</v>
      </c>
      <c r="D26" s="152">
        <f>D23*$B$26</f>
        <v>44881.621176675006</v>
      </c>
      <c r="E26" s="152">
        <f t="shared" ref="E26:J26" si="17">E23*$B$26</f>
        <v>7752.4869061449826</v>
      </c>
      <c r="F26" s="152">
        <f t="shared" si="17"/>
        <v>10645.685594077415</v>
      </c>
      <c r="G26" s="153">
        <f t="shared" si="17"/>
        <v>18398.172500222398</v>
      </c>
      <c r="H26" s="152">
        <f t="shared" si="17"/>
        <v>15989.045688813309</v>
      </c>
      <c r="I26" s="152">
        <f t="shared" si="17"/>
        <v>10494.402987639296</v>
      </c>
      <c r="J26" s="154">
        <f t="shared" si="17"/>
        <v>26483.448676452608</v>
      </c>
    </row>
    <row r="27" spans="1:10" x14ac:dyDescent="0.35">
      <c r="A27" s="366"/>
      <c r="B27" s="162">
        <v>0.2</v>
      </c>
      <c r="C27" s="3">
        <v>2022</v>
      </c>
      <c r="D27" s="138">
        <f t="shared" ref="D27:J27" si="18">D24*$B$27</f>
        <v>45755.404018180328</v>
      </c>
      <c r="E27" s="138">
        <f t="shared" si="18"/>
        <v>7903.4170610722867</v>
      </c>
      <c r="F27" s="138">
        <f t="shared" si="18"/>
        <v>10852.942309951119</v>
      </c>
      <c r="G27" s="139">
        <f t="shared" si="18"/>
        <v>18756.359371023405</v>
      </c>
      <c r="H27" s="138">
        <f t="shared" si="18"/>
        <v>16300.330205919623</v>
      </c>
      <c r="I27" s="138">
        <f t="shared" si="18"/>
        <v>10698.714441237302</v>
      </c>
      <c r="J27" s="155">
        <f t="shared" si="18"/>
        <v>26999.044647156927</v>
      </c>
    </row>
    <row r="28" spans="1:10" ht="16" thickBot="1" x14ac:dyDescent="0.4">
      <c r="A28" s="367"/>
      <c r="B28" s="163">
        <v>0.2</v>
      </c>
      <c r="C28" s="156">
        <v>2023</v>
      </c>
      <c r="D28" s="157">
        <f t="shared" ref="D28:J28" si="19">D25*$B$28</f>
        <v>46649.222249703249</v>
      </c>
      <c r="E28" s="157">
        <f t="shared" si="19"/>
        <v>8057.8079666297781</v>
      </c>
      <c r="F28" s="157">
        <f t="shared" si="19"/>
        <v>11064.95131545452</v>
      </c>
      <c r="G28" s="158">
        <f t="shared" si="19"/>
        <v>19122.759282084298</v>
      </c>
      <c r="H28" s="157">
        <f t="shared" si="19"/>
        <v>16618.7523164993</v>
      </c>
      <c r="I28" s="157">
        <f t="shared" si="19"/>
        <v>10907.710651119654</v>
      </c>
      <c r="J28" s="159">
        <f t="shared" si="19"/>
        <v>27526.462967618951</v>
      </c>
    </row>
    <row r="29" spans="1:10" x14ac:dyDescent="0.35">
      <c r="A29" s="365" t="s">
        <v>168</v>
      </c>
      <c r="B29" s="161">
        <f>B23-B26</f>
        <v>0.8</v>
      </c>
      <c r="C29" s="151">
        <v>2021</v>
      </c>
      <c r="D29" s="152">
        <f>D23*$B$29</f>
        <v>179526.48470670002</v>
      </c>
      <c r="E29" s="152">
        <f t="shared" ref="E29:J29" si="20">E23*$B$29</f>
        <v>31009.947624579931</v>
      </c>
      <c r="F29" s="152">
        <f t="shared" si="20"/>
        <v>42582.742376309659</v>
      </c>
      <c r="G29" s="153">
        <f t="shared" si="20"/>
        <v>73592.69000088959</v>
      </c>
      <c r="H29" s="152">
        <f t="shared" si="20"/>
        <v>63956.182755253234</v>
      </c>
      <c r="I29" s="152">
        <f t="shared" si="20"/>
        <v>41977.611950557184</v>
      </c>
      <c r="J29" s="154">
        <f t="shared" si="20"/>
        <v>105933.79470581043</v>
      </c>
    </row>
    <row r="30" spans="1:10" x14ac:dyDescent="0.35">
      <c r="A30" s="366"/>
      <c r="B30" s="162">
        <v>0.8</v>
      </c>
      <c r="C30" s="3">
        <v>2022</v>
      </c>
      <c r="D30" s="138">
        <f>D24*$B$30</f>
        <v>183021.61607272131</v>
      </c>
      <c r="E30" s="138">
        <f t="shared" ref="D30:J31" si="21">E24*$B$30</f>
        <v>31613.668244289147</v>
      </c>
      <c r="F30" s="138">
        <f t="shared" si="21"/>
        <v>43411.769239804475</v>
      </c>
      <c r="G30" s="139">
        <f t="shared" si="21"/>
        <v>75025.437484093622</v>
      </c>
      <c r="H30" s="138">
        <f t="shared" si="21"/>
        <v>65201.320823678492</v>
      </c>
      <c r="I30" s="138">
        <f t="shared" si="21"/>
        <v>42794.857764949207</v>
      </c>
      <c r="J30" s="155">
        <f t="shared" si="21"/>
        <v>107996.17858862771</v>
      </c>
    </row>
    <row r="31" spans="1:10" ht="16" thickBot="1" x14ac:dyDescent="0.4">
      <c r="A31" s="367"/>
      <c r="B31" s="163">
        <v>0.8</v>
      </c>
      <c r="C31" s="156">
        <v>2023</v>
      </c>
      <c r="D31" s="157">
        <f t="shared" si="21"/>
        <v>186596.888998813</v>
      </c>
      <c r="E31" s="157">
        <f t="shared" si="21"/>
        <v>32231.231866519112</v>
      </c>
      <c r="F31" s="157">
        <f t="shared" si="21"/>
        <v>44259.805261818081</v>
      </c>
      <c r="G31" s="158">
        <f t="shared" si="21"/>
        <v>76491.037128337193</v>
      </c>
      <c r="H31" s="157">
        <f t="shared" si="21"/>
        <v>66475.0092659972</v>
      </c>
      <c r="I31" s="157">
        <f t="shared" si="21"/>
        <v>43630.842604478617</v>
      </c>
      <c r="J31" s="159">
        <f t="shared" si="21"/>
        <v>110105.8518704758</v>
      </c>
    </row>
  </sheetData>
  <mergeCells count="13">
    <mergeCell ref="A1:J1"/>
    <mergeCell ref="C6:D6"/>
    <mergeCell ref="A7:A9"/>
    <mergeCell ref="B7:B9"/>
    <mergeCell ref="A10:A12"/>
    <mergeCell ref="B10:B12"/>
    <mergeCell ref="A29:A31"/>
    <mergeCell ref="A13:A15"/>
    <mergeCell ref="B13:B15"/>
    <mergeCell ref="A17:J17"/>
    <mergeCell ref="C22:D22"/>
    <mergeCell ref="A23:A25"/>
    <mergeCell ref="A26:A28"/>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G3" sqref="G3:H9"/>
    </sheetView>
  </sheetViews>
  <sheetFormatPr defaultRowHeight="15.5" x14ac:dyDescent="0.35"/>
  <cols>
    <col min="1" max="1" width="22" style="217" bestFit="1" customWidth="1"/>
    <col min="2" max="2" width="13.5" style="217" bestFit="1" customWidth="1"/>
    <col min="3" max="3" width="16.08203125" style="217" customWidth="1"/>
    <col min="4" max="6" width="13.5" style="217" bestFit="1" customWidth="1"/>
    <col min="7" max="8" width="8.6640625" style="217"/>
    <col min="9" max="9" width="21.1640625" style="217" bestFit="1" customWidth="1"/>
    <col min="10" max="16384" width="8.6640625" style="217"/>
  </cols>
  <sheetData>
    <row r="1" spans="1:12" x14ac:dyDescent="0.35">
      <c r="B1" s="217">
        <v>2019</v>
      </c>
      <c r="C1" s="289">
        <v>2020</v>
      </c>
      <c r="D1" s="217">
        <v>2021</v>
      </c>
      <c r="E1" s="217">
        <v>2022</v>
      </c>
      <c r="F1" s="217">
        <v>2023</v>
      </c>
    </row>
    <row r="2" spans="1:12" x14ac:dyDescent="0.35">
      <c r="A2" s="217" t="s">
        <v>369</v>
      </c>
      <c r="B2" s="294">
        <f>'Dist pop'!B18</f>
        <v>18744803</v>
      </c>
      <c r="C2" s="396">
        <f>'Dist pop'!C18</f>
        <v>19053728.220800001</v>
      </c>
      <c r="D2" s="294">
        <f>'Dist pop'!D18</f>
        <v>19370244.301080443</v>
      </c>
      <c r="E2" s="294">
        <f>'Dist pop'!E18</f>
        <v>19694582.450454984</v>
      </c>
      <c r="F2" s="294">
        <f>'Dist pop'!F18</f>
        <v>20026982.165865883</v>
      </c>
    </row>
    <row r="3" spans="1:12" x14ac:dyDescent="0.35">
      <c r="A3" s="397" t="s">
        <v>403</v>
      </c>
      <c r="B3" s="294">
        <f>'Dist pop'!B6+'Dist pop'!B13</f>
        <v>16585191</v>
      </c>
      <c r="C3" s="396">
        <f>'Dist pop'!C6+'Dist pop'!C13</f>
        <v>16852358.710500002</v>
      </c>
      <c r="D3" s="294">
        <f>'Dist pop'!D6+'Dist pop'!D13</f>
        <v>17126163.242246691</v>
      </c>
      <c r="E3" s="294">
        <f>'Dist pop'!E6+'Dist pop'!E13</f>
        <v>17406812.249545969</v>
      </c>
      <c r="F3" s="294">
        <f>'Dist pop'!F6+'Dist pop'!F13</f>
        <v>17694521.05338072</v>
      </c>
      <c r="G3" s="294"/>
      <c r="H3" s="294"/>
    </row>
    <row r="4" spans="1:12" x14ac:dyDescent="0.35">
      <c r="A4" s="217" t="s">
        <v>370</v>
      </c>
      <c r="B4" s="217">
        <v>17225</v>
      </c>
      <c r="C4" s="290">
        <f>'Case summary'!C6</f>
        <v>14627.55</v>
      </c>
      <c r="D4" s="260">
        <f>'Case summary'!D6</f>
        <v>12432.057499999999</v>
      </c>
      <c r="E4" s="260">
        <f>'Case summary'!E6</f>
        <v>9403.3288299999986</v>
      </c>
      <c r="F4" s="260">
        <f>'Case summary'!F6</f>
        <v>6248.3729306199994</v>
      </c>
    </row>
    <row r="5" spans="1:12" x14ac:dyDescent="0.35">
      <c r="A5" s="217" t="s">
        <v>368</v>
      </c>
      <c r="B5" s="286">
        <f>B4*1000/B2</f>
        <v>0.918921367165075</v>
      </c>
      <c r="C5" s="398">
        <f t="shared" ref="C5:F5" si="0">C4*1000/C2</f>
        <v>0.76770014930893349</v>
      </c>
      <c r="D5" s="286">
        <f t="shared" si="0"/>
        <v>0.64181211691308182</v>
      </c>
      <c r="E5" s="286">
        <f t="shared" si="0"/>
        <v>0.47745763859963242</v>
      </c>
      <c r="F5" s="286">
        <f t="shared" si="0"/>
        <v>0.31199772780892404</v>
      </c>
    </row>
    <row r="6" spans="1:12" x14ac:dyDescent="0.35">
      <c r="A6" s="217" t="s">
        <v>371</v>
      </c>
      <c r="B6" s="260">
        <f>API!N57</f>
        <v>9</v>
      </c>
      <c r="C6" s="290">
        <f>API!O57</f>
        <v>7.6499999999999995</v>
      </c>
      <c r="D6" s="260">
        <f>API!P57</f>
        <v>6.5024999999999995</v>
      </c>
      <c r="E6" s="260">
        <f>API!Q57</f>
        <v>4.9549050000000001</v>
      </c>
      <c r="F6" s="260">
        <f>API!R57</f>
        <v>3.0324018600000002</v>
      </c>
    </row>
    <row r="7" spans="1:12" x14ac:dyDescent="0.35">
      <c r="A7" s="217" t="s">
        <v>372</v>
      </c>
      <c r="B7" s="286">
        <f>B6*100000/B2</f>
        <v>4.8013308008625112E-2</v>
      </c>
      <c r="C7" s="398">
        <f t="shared" ref="C7:F7" si="1">C6*100000/C2</f>
        <v>4.0149622747577968E-2</v>
      </c>
      <c r="D7" s="286">
        <f t="shared" si="1"/>
        <v>3.3569530145973948E-2</v>
      </c>
      <c r="E7" s="286">
        <f t="shared" si="1"/>
        <v>2.515872074193445E-2</v>
      </c>
      <c r="F7" s="286">
        <f t="shared" si="1"/>
        <v>1.5141581666600002E-2</v>
      </c>
    </row>
    <row r="8" spans="1:12" x14ac:dyDescent="0.35">
      <c r="A8" s="397" t="s">
        <v>402</v>
      </c>
      <c r="B8" s="260">
        <f>'Case summary'!B7</f>
        <v>801</v>
      </c>
      <c r="C8" s="290">
        <f>'Case summary'!C4+'Case summary'!C5</f>
        <v>675.65</v>
      </c>
      <c r="D8" s="260">
        <f>'Case summary'!D4+'Case summary'!D5</f>
        <v>572.9425</v>
      </c>
      <c r="E8" s="260">
        <f>'Case summary'!E4+'Case summary'!E5</f>
        <v>366.6832</v>
      </c>
      <c r="F8" s="260">
        <f>'Case summary'!F4+'Case summary'!F5</f>
        <v>157.673776</v>
      </c>
      <c r="G8" s="260"/>
      <c r="H8" s="260"/>
    </row>
    <row r="9" spans="1:12" x14ac:dyDescent="0.35">
      <c r="A9" s="397" t="s">
        <v>401</v>
      </c>
      <c r="B9" s="286">
        <f>B8*1000/B3</f>
        <v>4.8296097404003369E-2</v>
      </c>
      <c r="C9" s="398">
        <f t="shared" ref="C9:F9" si="2">C8*1000/C3</f>
        <v>4.0092310614005068E-2</v>
      </c>
      <c r="D9" s="286">
        <f t="shared" si="2"/>
        <v>3.3454223920198874E-2</v>
      </c>
      <c r="E9" s="286">
        <f t="shared" si="2"/>
        <v>2.1065499802214758E-2</v>
      </c>
      <c r="F9" s="286">
        <f t="shared" si="2"/>
        <v>8.9108812566517492E-3</v>
      </c>
      <c r="G9" s="409"/>
      <c r="H9" s="286"/>
    </row>
    <row r="11" spans="1:12" x14ac:dyDescent="0.35">
      <c r="A11" s="399" t="s">
        <v>411</v>
      </c>
      <c r="B11" s="400"/>
      <c r="C11" s="400"/>
      <c r="D11" s="400"/>
      <c r="E11" s="400"/>
      <c r="F11" s="401"/>
      <c r="I11" s="399" t="s">
        <v>414</v>
      </c>
      <c r="J11" s="400"/>
      <c r="K11" s="400"/>
      <c r="L11" s="401"/>
    </row>
    <row r="12" spans="1:12" x14ac:dyDescent="0.35">
      <c r="A12" s="219" t="s">
        <v>373</v>
      </c>
      <c r="B12" s="219">
        <f>670402+0</f>
        <v>670402</v>
      </c>
      <c r="C12" s="219"/>
      <c r="D12" s="233">
        <f>'LLIN requirement summary'!E13</f>
        <v>202495.57315218702</v>
      </c>
      <c r="E12" s="233">
        <f>'LLIN requirement summary'!F13</f>
        <v>262785.01893580763</v>
      </c>
      <c r="F12" s="233">
        <f>'LLIN requirement summary'!G13</f>
        <v>1063407.4368157729</v>
      </c>
      <c r="I12" s="219"/>
      <c r="J12" s="219" t="s">
        <v>163</v>
      </c>
      <c r="K12" s="219" t="s">
        <v>409</v>
      </c>
      <c r="L12" s="219" t="s">
        <v>2</v>
      </c>
    </row>
    <row r="13" spans="1:12" x14ac:dyDescent="0.35">
      <c r="A13" s="219" t="s">
        <v>374</v>
      </c>
      <c r="B13" s="219">
        <f>33171+23680</f>
        <v>56851</v>
      </c>
      <c r="C13" s="219"/>
      <c r="D13" s="233">
        <f>'LLIN requirement summary'!E14</f>
        <v>102549.13625567489</v>
      </c>
      <c r="E13" s="233">
        <f>'LLIN requirement summary'!F14</f>
        <v>104451.619153376</v>
      </c>
      <c r="F13" s="233">
        <f>'LLIN requirement summary'!G14</f>
        <v>106394.09752117895</v>
      </c>
      <c r="I13" s="219" t="s">
        <v>375</v>
      </c>
      <c r="J13" s="219">
        <v>582</v>
      </c>
      <c r="K13" s="219">
        <v>1070</v>
      </c>
      <c r="L13" s="219">
        <f>SUM(J13:K13)</f>
        <v>1652</v>
      </c>
    </row>
    <row r="14" spans="1:12" x14ac:dyDescent="0.35">
      <c r="A14" s="230"/>
      <c r="B14" s="230"/>
      <c r="C14" s="230"/>
      <c r="D14" s="402"/>
      <c r="E14" s="402"/>
      <c r="F14" s="402"/>
      <c r="I14" s="219" t="s">
        <v>376</v>
      </c>
      <c r="J14" s="219">
        <v>1455</v>
      </c>
      <c r="K14" s="219">
        <v>988</v>
      </c>
      <c r="L14" s="219">
        <f t="shared" ref="L14:L17" si="3">SUM(J14:K14)</f>
        <v>2443</v>
      </c>
    </row>
    <row r="15" spans="1:12" x14ac:dyDescent="0.35">
      <c r="A15" s="399" t="s">
        <v>410</v>
      </c>
      <c r="B15" s="400"/>
      <c r="C15" s="400"/>
      <c r="D15" s="400"/>
      <c r="E15" s="400"/>
      <c r="F15" s="401"/>
      <c r="I15" s="219" t="s">
        <v>377</v>
      </c>
      <c r="J15" s="219">
        <v>31002</v>
      </c>
      <c r="K15" s="219">
        <v>19868</v>
      </c>
      <c r="L15" s="219">
        <f t="shared" si="3"/>
        <v>50870</v>
      </c>
    </row>
    <row r="16" spans="1:12" x14ac:dyDescent="0.35">
      <c r="A16" s="219"/>
      <c r="B16" s="219"/>
      <c r="C16" s="219"/>
      <c r="D16" s="248">
        <v>0.8</v>
      </c>
      <c r="E16" s="248">
        <v>0.9</v>
      </c>
      <c r="F16" s="248">
        <v>1</v>
      </c>
      <c r="I16" s="219" t="s">
        <v>378</v>
      </c>
      <c r="J16" s="219">
        <v>132</v>
      </c>
      <c r="K16" s="219">
        <v>0</v>
      </c>
      <c r="L16" s="219">
        <f t="shared" si="3"/>
        <v>132</v>
      </c>
    </row>
    <row r="17" spans="1:12" x14ac:dyDescent="0.35">
      <c r="A17" s="403" t="s">
        <v>412</v>
      </c>
      <c r="B17" s="219" t="s">
        <v>380</v>
      </c>
      <c r="C17" s="248">
        <v>0.33</v>
      </c>
      <c r="D17" s="247">
        <f>D8*D$16*$C$17</f>
        <v>151.25682000000003</v>
      </c>
      <c r="E17" s="247">
        <f t="shared" ref="E17:F17" si="4">E8*E$16*$C$17</f>
        <v>108.90491040000001</v>
      </c>
      <c r="F17" s="247">
        <f t="shared" si="4"/>
        <v>52.032346080000003</v>
      </c>
      <c r="I17" s="219" t="s">
        <v>379</v>
      </c>
      <c r="J17" s="219">
        <v>0</v>
      </c>
      <c r="K17" s="219">
        <v>1754</v>
      </c>
      <c r="L17" s="219">
        <f t="shared" si="3"/>
        <v>1754</v>
      </c>
    </row>
    <row r="18" spans="1:12" x14ac:dyDescent="0.35">
      <c r="A18" s="404"/>
      <c r="B18" s="219" t="s">
        <v>164</v>
      </c>
      <c r="C18" s="248">
        <v>0.67</v>
      </c>
      <c r="D18" s="247">
        <f>D8*D$16*$C$18</f>
        <v>307.09718000000004</v>
      </c>
      <c r="E18" s="247">
        <f t="shared" ref="E18:F18" si="5">E8*E$16*$C$18</f>
        <v>221.10996960000003</v>
      </c>
      <c r="F18" s="247">
        <f t="shared" si="5"/>
        <v>105.64142992000001</v>
      </c>
      <c r="I18" s="219" t="s">
        <v>2</v>
      </c>
      <c r="J18" s="219">
        <f>SUM(J13:J17)</f>
        <v>33171</v>
      </c>
      <c r="K18" s="219">
        <f>SUM(K13:K17)</f>
        <v>23680</v>
      </c>
      <c r="L18" s="219">
        <f>SUM(L13:L17)</f>
        <v>56851</v>
      </c>
    </row>
    <row r="19" spans="1:12" x14ac:dyDescent="0.35">
      <c r="A19" s="404"/>
      <c r="B19" s="219" t="s">
        <v>380</v>
      </c>
      <c r="C19" s="405" t="s">
        <v>408</v>
      </c>
      <c r="D19" s="247">
        <f>D8*$C$17</f>
        <v>189.07102500000002</v>
      </c>
      <c r="E19" s="247">
        <f t="shared" ref="E19:F19" si="6">E8*$C$17</f>
        <v>121.00545600000001</v>
      </c>
      <c r="F19" s="247">
        <f t="shared" si="6"/>
        <v>52.032346080000003</v>
      </c>
      <c r="I19" s="230"/>
      <c r="J19" s="230"/>
      <c r="K19" s="230"/>
      <c r="L19" s="230"/>
    </row>
    <row r="20" spans="1:12" x14ac:dyDescent="0.35">
      <c r="A20" s="406"/>
      <c r="B20" s="219" t="s">
        <v>164</v>
      </c>
      <c r="C20" s="405"/>
      <c r="D20" s="247">
        <f>D8*$C$18</f>
        <v>383.87147500000003</v>
      </c>
      <c r="E20" s="247">
        <f t="shared" ref="E20:F20" si="7">E8*$C$18</f>
        <v>245.67774400000002</v>
      </c>
      <c r="F20" s="247">
        <f t="shared" si="7"/>
        <v>105.64142992000001</v>
      </c>
    </row>
    <row r="21" spans="1:12" x14ac:dyDescent="0.35">
      <c r="A21" s="399" t="s">
        <v>413</v>
      </c>
      <c r="B21" s="401"/>
      <c r="C21" s="57"/>
      <c r="D21" s="260"/>
      <c r="E21" s="260"/>
      <c r="F21" s="260"/>
    </row>
    <row r="22" spans="1:12" x14ac:dyDescent="0.35">
      <c r="A22" s="219" t="s">
        <v>404</v>
      </c>
      <c r="B22" s="219">
        <v>6</v>
      </c>
      <c r="C22" s="407"/>
      <c r="D22" s="260"/>
      <c r="E22" s="260"/>
      <c r="F22" s="260"/>
    </row>
    <row r="23" spans="1:12" x14ac:dyDescent="0.35">
      <c r="A23" s="219" t="s">
        <v>405</v>
      </c>
      <c r="B23" s="219">
        <v>19</v>
      </c>
    </row>
    <row r="24" spans="1:12" x14ac:dyDescent="0.35">
      <c r="A24" s="219" t="s">
        <v>406</v>
      </c>
      <c r="B24" s="408">
        <f>B22*1000/B3</f>
        <v>3.6176851988017504E-4</v>
      </c>
    </row>
    <row r="25" spans="1:12" x14ac:dyDescent="0.35">
      <c r="A25" s="219" t="s">
        <v>407</v>
      </c>
      <c r="B25" s="408">
        <f>B23*1000/B3</f>
        <v>1.1456003129538875E-3</v>
      </c>
    </row>
  </sheetData>
  <mergeCells count="6">
    <mergeCell ref="C19:C20"/>
    <mergeCell ref="I11:L11"/>
    <mergeCell ref="A11:F11"/>
    <mergeCell ref="A15:F15"/>
    <mergeCell ref="A17:A20"/>
    <mergeCell ref="A21:B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LLIN CHT</vt:lpstr>
      <vt:lpstr>Non-CHT</vt:lpstr>
      <vt:lpstr>LLIN requirement summary</vt:lpstr>
      <vt:lpstr>RDT</vt:lpstr>
      <vt:lpstr>Case summary</vt:lpstr>
      <vt:lpstr>API</vt:lpstr>
      <vt:lpstr>antimalarials</vt:lpstr>
      <vt:lpstr>Quarterly Case, test</vt:lpstr>
      <vt:lpstr>Calculation for PF</vt:lpstr>
      <vt:lpstr>Dist pop</vt:lpstr>
      <vt:lpstr>Unit cost</vt:lpstr>
      <vt:lpstr>Quantification summary</vt:lpstr>
      <vt:lpstr>NMEP Min cost wout activities</vt:lpstr>
    </vt:vector>
  </TitlesOfParts>
  <Company>VBDC Consulting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Hewitt</dc:creator>
  <cp:lastModifiedBy>Anjan</cp:lastModifiedBy>
  <cp:lastPrinted>2020-02-12T16:02:08Z</cp:lastPrinted>
  <dcterms:created xsi:type="dcterms:W3CDTF">2017-01-11T04:43:05Z</dcterms:created>
  <dcterms:modified xsi:type="dcterms:W3CDTF">2020-03-01T11:06:50Z</dcterms:modified>
</cp:coreProperties>
</file>