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7170"/>
  </bookViews>
  <sheets>
    <sheet name="General assumption" sheetId="9" r:id="rId1"/>
    <sheet name="Impl plan" sheetId="6" r:id="rId2"/>
    <sheet name="Unit Cost" sheetId="10" r:id="rId3"/>
    <sheet name="Costed Impl plan" sheetId="8" r:id="rId4"/>
    <sheet name="Budget" sheetId="11" r:id="rId5"/>
    <sheet name="Activities" sheetId="12" state="hidden" r:id="rId6"/>
  </sheets>
  <definedNames>
    <definedName name="_xlnm._FilterDatabase" localSheetId="3" hidden="1">'Costed Impl plan'!$A$7:$S$245</definedName>
    <definedName name="_ftn1" localSheetId="3">'Costed Impl plan'!#REF!</definedName>
    <definedName name="_ftn1" localSheetId="1">'Impl plan'!#REF!</definedName>
    <definedName name="_ftn10" localSheetId="3">'Costed Impl plan'!#REF!</definedName>
    <definedName name="_ftn10" localSheetId="1">'Impl plan'!#REF!</definedName>
    <definedName name="_ftn11" localSheetId="3">'Costed Impl plan'!#REF!</definedName>
    <definedName name="_ftn11" localSheetId="1">'Impl plan'!#REF!</definedName>
    <definedName name="_ftn12" localSheetId="3">'Costed Impl plan'!#REF!</definedName>
    <definedName name="_ftn12" localSheetId="1">'Impl plan'!#REF!</definedName>
    <definedName name="_ftn13" localSheetId="3">'Costed Impl plan'!#REF!</definedName>
    <definedName name="_ftn13" localSheetId="1">'Impl plan'!#REF!</definedName>
    <definedName name="_ftn14" localSheetId="3">'Costed Impl plan'!#REF!</definedName>
    <definedName name="_ftn14" localSheetId="1">'Impl plan'!#REF!</definedName>
    <definedName name="_ftn15" localSheetId="3">'Costed Impl plan'!#REF!</definedName>
    <definedName name="_ftn15" localSheetId="1">'Impl plan'!#REF!</definedName>
    <definedName name="_ftn2" localSheetId="3">'Costed Impl plan'!#REF!</definedName>
    <definedName name="_ftn2" localSheetId="1">'Impl plan'!#REF!</definedName>
    <definedName name="_ftn3" localSheetId="3">'Costed Impl plan'!#REF!</definedName>
    <definedName name="_ftn3" localSheetId="1">'Impl plan'!#REF!</definedName>
    <definedName name="_ftn4" localSheetId="3">'Costed Impl plan'!#REF!</definedName>
    <definedName name="_ftn4" localSheetId="1">'Impl plan'!#REF!</definedName>
    <definedName name="_ftn5" localSheetId="3">'Costed Impl plan'!#REF!</definedName>
    <definedName name="_ftn5" localSheetId="1">'Impl plan'!#REF!</definedName>
    <definedName name="_ftn6" localSheetId="3">'Costed Impl plan'!#REF!</definedName>
    <definedName name="_ftn6" localSheetId="1">'Impl plan'!#REF!</definedName>
    <definedName name="_ftn7" localSheetId="3">'Costed Impl plan'!#REF!</definedName>
    <definedName name="_ftn7" localSheetId="1">'Impl plan'!#REF!</definedName>
    <definedName name="_ftn8" localSheetId="3">'Costed Impl plan'!#REF!</definedName>
    <definedName name="_ftn8" localSheetId="1">'Impl plan'!#REF!</definedName>
    <definedName name="_ftn9" localSheetId="3">'Costed Impl plan'!#REF!</definedName>
    <definedName name="_ftn9" localSheetId="1">'Impl plan'!#REF!</definedName>
    <definedName name="_ftnref1" localSheetId="3">'Costed Impl plan'!#REF!</definedName>
    <definedName name="_ftnref1" localSheetId="1">'Impl plan'!#REF!</definedName>
    <definedName name="_ftnref10" localSheetId="3">'Costed Impl plan'!#REF!</definedName>
    <definedName name="_ftnref10" localSheetId="1">'Impl plan'!#REF!</definedName>
    <definedName name="_ftnref11" localSheetId="3">'Costed Impl plan'!#REF!</definedName>
    <definedName name="_ftnref11" localSheetId="1">'Impl plan'!#REF!</definedName>
    <definedName name="_ftnref12" localSheetId="3">'Costed Impl plan'!#REF!</definedName>
    <definedName name="_ftnref12" localSheetId="1">'Impl plan'!#REF!</definedName>
    <definedName name="_ftnref13" localSheetId="3">'Costed Impl plan'!#REF!</definedName>
    <definedName name="_ftnref13" localSheetId="1">'Impl plan'!#REF!</definedName>
    <definedName name="_ftnref14" localSheetId="3">'Costed Impl plan'!#REF!</definedName>
    <definedName name="_ftnref14" localSheetId="1">'Impl plan'!#REF!</definedName>
    <definedName name="_ftnref15" localSheetId="3">'Costed Impl plan'!#REF!</definedName>
    <definedName name="_ftnref15" localSheetId="1">'Impl plan'!#REF!</definedName>
    <definedName name="_ftnref2" localSheetId="3">'Costed Impl plan'!#REF!</definedName>
    <definedName name="_ftnref2" localSheetId="1">'Impl plan'!#REF!</definedName>
    <definedName name="_ftnref3" localSheetId="3">'Costed Impl plan'!#REF!</definedName>
    <definedName name="_ftnref3" localSheetId="1">'Impl plan'!#REF!</definedName>
    <definedName name="_ftnref4" localSheetId="3">'Costed Impl plan'!#REF!</definedName>
    <definedName name="_ftnref4" localSheetId="1">'Impl plan'!#REF!</definedName>
    <definedName name="_ftnref5" localSheetId="3">'Costed Impl plan'!#REF!</definedName>
    <definedName name="_ftnref5" localSheetId="1">'Impl plan'!#REF!</definedName>
    <definedName name="_ftnref6" localSheetId="3">'Costed Impl plan'!#REF!</definedName>
    <definedName name="_ftnref6" localSheetId="1">'Impl plan'!#REF!</definedName>
    <definedName name="_ftnref7" localSheetId="3">'Costed Impl plan'!#REF!</definedName>
    <definedName name="_ftnref7" localSheetId="1">'Impl plan'!#REF!</definedName>
    <definedName name="_ftnref8" localSheetId="3">'Costed Impl plan'!#REF!</definedName>
    <definedName name="_ftnref8" localSheetId="1">'Impl plan'!#REF!</definedName>
    <definedName name="_ftnref9" localSheetId="3">'Costed Impl plan'!#REF!</definedName>
    <definedName name="_ftnref9" localSheetId="1">'Impl plan'!#REF!</definedName>
    <definedName name="_xlnm.Print_Titles" localSheetId="4">Budget!$4:$6</definedName>
    <definedName name="_xlnm.Print_Titles" localSheetId="3">'Costed Impl plan'!$7:$8</definedName>
    <definedName name="_xlnm.Print_Titles" localSheetId="1">'Impl plan'!$5:$6</definedName>
  </definedNames>
  <calcPr calcId="124519"/>
</workbook>
</file>

<file path=xl/calcChain.xml><?xml version="1.0" encoding="utf-8"?>
<calcChain xmlns="http://schemas.openxmlformats.org/spreadsheetml/2006/main">
  <c r="R121" i="8"/>
  <c r="R88"/>
  <c r="R77"/>
  <c r="R10"/>
  <c r="R9"/>
  <c r="J242"/>
  <c r="J241"/>
  <c r="J240"/>
  <c r="J239"/>
  <c r="J238"/>
  <c r="J237"/>
  <c r="J236"/>
  <c r="J235"/>
  <c r="J234"/>
  <c r="J230"/>
  <c r="J229"/>
  <c r="J228"/>
  <c r="J227"/>
  <c r="J226"/>
  <c r="J225"/>
  <c r="J224"/>
  <c r="J223"/>
  <c r="J222"/>
  <c r="J221"/>
  <c r="J218"/>
  <c r="J217"/>
  <c r="J216"/>
  <c r="J215"/>
  <c r="J212"/>
  <c r="J211"/>
  <c r="J210"/>
  <c r="J209"/>
  <c r="J208"/>
  <c r="J206"/>
  <c r="J204"/>
  <c r="J199"/>
  <c r="J198"/>
  <c r="J197"/>
  <c r="J195"/>
  <c r="J194"/>
  <c r="J192"/>
  <c r="J191"/>
  <c r="J190"/>
  <c r="J186"/>
  <c r="J185"/>
  <c r="J183"/>
  <c r="J182"/>
  <c r="J181"/>
  <c r="J179"/>
  <c r="J178"/>
  <c r="J177"/>
  <c r="J176"/>
  <c r="J175"/>
  <c r="J173"/>
  <c r="J172"/>
  <c r="J171"/>
  <c r="J170"/>
  <c r="J169"/>
  <c r="J164"/>
  <c r="J163"/>
  <c r="J162"/>
  <c r="J159"/>
  <c r="J158"/>
  <c r="J157"/>
  <c r="J156"/>
  <c r="J155"/>
  <c r="J154"/>
  <c r="J153"/>
  <c r="J152"/>
  <c r="J151"/>
  <c r="J150"/>
  <c r="J149"/>
  <c r="J146"/>
  <c r="J145"/>
  <c r="J144"/>
  <c r="J143"/>
  <c r="J142"/>
  <c r="J141"/>
  <c r="J138"/>
  <c r="J137"/>
  <c r="J136"/>
  <c r="J135"/>
  <c r="J132"/>
  <c r="J131"/>
  <c r="J130"/>
  <c r="J129"/>
  <c r="J125"/>
  <c r="J124"/>
  <c r="J123"/>
  <c r="J121"/>
  <c r="J116"/>
  <c r="J115"/>
  <c r="J113"/>
  <c r="J111"/>
  <c r="J110"/>
  <c r="J109"/>
  <c r="J108"/>
  <c r="J107"/>
  <c r="J103"/>
  <c r="J102"/>
  <c r="J101"/>
  <c r="J100"/>
  <c r="J97"/>
  <c r="J96"/>
  <c r="J95"/>
  <c r="J94"/>
  <c r="J91"/>
  <c r="J90"/>
  <c r="J88"/>
  <c r="J83"/>
  <c r="J82"/>
  <c r="J81"/>
  <c r="J80"/>
  <c r="J78"/>
  <c r="J77"/>
  <c r="J76"/>
  <c r="J75"/>
  <c r="J74"/>
  <c r="J72"/>
  <c r="J71"/>
  <c r="J70"/>
  <c r="J68"/>
  <c r="J67"/>
  <c r="J66"/>
  <c r="J65"/>
  <c r="J61"/>
  <c r="J60"/>
  <c r="J59"/>
  <c r="J58"/>
  <c r="J57"/>
  <c r="J54"/>
  <c r="J53"/>
  <c r="J51"/>
  <c r="J50"/>
  <c r="J49"/>
  <c r="J48"/>
  <c r="J47"/>
  <c r="J46"/>
  <c r="J45"/>
  <c r="J44"/>
  <c r="J43"/>
  <c r="J41"/>
  <c r="J40"/>
  <c r="J39"/>
  <c r="J38"/>
  <c r="J34"/>
  <c r="J32"/>
  <c r="J31"/>
  <c r="J29"/>
  <c r="J28"/>
  <c r="J27"/>
  <c r="J26"/>
  <c r="J25"/>
  <c r="J24"/>
  <c r="H31" i="10"/>
  <c r="J178" i="6"/>
  <c r="J163"/>
  <c r="J160"/>
  <c r="J125"/>
  <c r="J124"/>
  <c r="J114"/>
  <c r="J104"/>
  <c r="J95"/>
  <c r="J81"/>
  <c r="J79"/>
  <c r="J67"/>
  <c r="J26"/>
  <c r="J25"/>
  <c r="J21"/>
  <c r="J19"/>
  <c r="J16"/>
  <c r="J24" s="1"/>
  <c r="J15"/>
  <c r="J23" s="1"/>
  <c r="J14"/>
  <c r="J22" s="1"/>
  <c r="J13"/>
  <c r="J12"/>
  <c r="J20" s="1"/>
  <c r="I6" i="9"/>
  <c r="I5"/>
  <c r="J22" i="8"/>
  <c r="J17"/>
  <c r="J15"/>
  <c r="J14"/>
  <c r="J13"/>
  <c r="J11" i="6"/>
  <c r="J10"/>
  <c r="J9"/>
  <c r="J8" s="1"/>
  <c r="H26" i="10"/>
  <c r="H37"/>
  <c r="G153"/>
  <c r="G75"/>
  <c r="G26"/>
  <c r="G1814"/>
  <c r="G1649"/>
  <c r="H1065"/>
  <c r="G1065"/>
  <c r="G1055"/>
  <c r="J12" i="8" l="1"/>
  <c r="J16"/>
  <c r="J20"/>
  <c r="J19"/>
  <c r="J18"/>
  <c r="J17" i="6"/>
  <c r="J21" i="8" s="1"/>
  <c r="H954" i="10"/>
  <c r="G954"/>
  <c r="G564"/>
  <c r="G539"/>
  <c r="F381"/>
  <c r="G314"/>
  <c r="C204" i="6"/>
  <c r="C205"/>
  <c r="C206"/>
  <c r="C207"/>
  <c r="C208"/>
  <c r="C209"/>
  <c r="C210"/>
  <c r="C211"/>
  <c r="C212"/>
  <c r="C213"/>
  <c r="C193"/>
  <c r="C194"/>
  <c r="C195"/>
  <c r="C196"/>
  <c r="C197"/>
  <c r="C198"/>
  <c r="C199"/>
  <c r="C200"/>
  <c r="C201"/>
  <c r="C202"/>
  <c r="C188"/>
  <c r="C189"/>
  <c r="C190"/>
  <c r="C191"/>
  <c r="C180"/>
  <c r="C181"/>
  <c r="C182"/>
  <c r="C183"/>
  <c r="C184"/>
  <c r="C185"/>
  <c r="C186"/>
  <c r="C165"/>
  <c r="C166"/>
  <c r="C167"/>
  <c r="C168"/>
  <c r="C169"/>
  <c r="C170"/>
  <c r="C171"/>
  <c r="C172"/>
  <c r="C173"/>
  <c r="C174"/>
  <c r="C175"/>
  <c r="C161"/>
  <c r="C162"/>
  <c r="C163"/>
  <c r="C157"/>
  <c r="C158"/>
  <c r="C159"/>
  <c r="C160"/>
  <c r="C151"/>
  <c r="C152"/>
  <c r="C153"/>
  <c r="C154"/>
  <c r="C155"/>
  <c r="C156"/>
  <c r="C145"/>
  <c r="C146"/>
  <c r="C147"/>
  <c r="C148"/>
  <c r="C149"/>
  <c r="C150"/>
  <c r="C144"/>
  <c r="C140"/>
  <c r="C141"/>
  <c r="C142"/>
  <c r="C128"/>
  <c r="C129"/>
  <c r="C130"/>
  <c r="C131"/>
  <c r="C132"/>
  <c r="C133"/>
  <c r="C134"/>
  <c r="C135"/>
  <c r="C136"/>
  <c r="C137"/>
  <c r="C138"/>
  <c r="C121"/>
  <c r="C122"/>
  <c r="C123"/>
  <c r="C124"/>
  <c r="C125"/>
  <c r="C126"/>
  <c r="C116"/>
  <c r="C117"/>
  <c r="C118"/>
  <c r="C119"/>
  <c r="C110"/>
  <c r="C111"/>
  <c r="C112"/>
  <c r="C113"/>
  <c r="C114"/>
  <c r="C106"/>
  <c r="C107"/>
  <c r="C108"/>
  <c r="C91"/>
  <c r="C92"/>
  <c r="C93"/>
  <c r="C94"/>
  <c r="C95"/>
  <c r="C96"/>
  <c r="C97"/>
  <c r="C98"/>
  <c r="C99"/>
  <c r="C100"/>
  <c r="C101"/>
  <c r="C86"/>
  <c r="C87"/>
  <c r="C88"/>
  <c r="C89"/>
  <c r="C81"/>
  <c r="C82"/>
  <c r="C83"/>
  <c r="C84"/>
  <c r="C78"/>
  <c r="C79"/>
  <c r="C54"/>
  <c r="C55"/>
  <c r="C56"/>
  <c r="C57"/>
  <c r="C58"/>
  <c r="C59"/>
  <c r="C60"/>
  <c r="C61"/>
  <c r="C62"/>
  <c r="C63"/>
  <c r="C64"/>
  <c r="C65"/>
  <c r="C66"/>
  <c r="C67"/>
  <c r="C68"/>
  <c r="C69"/>
  <c r="C70"/>
  <c r="C71"/>
  <c r="C72"/>
  <c r="C73"/>
  <c r="C48"/>
  <c r="C49"/>
  <c r="C50"/>
  <c r="C51"/>
  <c r="C52"/>
  <c r="C29"/>
  <c r="C30"/>
  <c r="C31"/>
  <c r="C32"/>
  <c r="C33"/>
  <c r="C34"/>
  <c r="C35"/>
  <c r="C36"/>
  <c r="C37"/>
  <c r="C38"/>
  <c r="C39"/>
  <c r="C40"/>
  <c r="C41"/>
  <c r="C42"/>
  <c r="C43"/>
  <c r="C44"/>
  <c r="C45"/>
  <c r="C46"/>
  <c r="C27"/>
  <c r="C25"/>
  <c r="C19"/>
  <c r="C8"/>
  <c r="F204" i="8"/>
  <c r="G204"/>
  <c r="H204"/>
  <c r="I204"/>
  <c r="E204"/>
  <c r="F104" i="6"/>
  <c r="G104"/>
  <c r="H104"/>
  <c r="I104"/>
  <c r="E104"/>
  <c r="F178"/>
  <c r="G178"/>
  <c r="H178"/>
  <c r="I178"/>
  <c r="E178"/>
  <c r="F76"/>
  <c r="G76"/>
  <c r="H76"/>
  <c r="I76"/>
  <c r="E76"/>
  <c r="C203" i="10"/>
  <c r="C190"/>
  <c r="C178"/>
  <c r="C165"/>
  <c r="C158"/>
  <c r="C137"/>
  <c r="C9"/>
  <c r="C96"/>
  <c r="C686"/>
  <c r="C80" i="12" l="1"/>
  <c r="C81"/>
  <c r="C82"/>
  <c r="Q88" i="8" l="1"/>
  <c r="P88"/>
  <c r="O88"/>
  <c r="N88"/>
  <c r="M88"/>
  <c r="F88"/>
  <c r="G88"/>
  <c r="H88"/>
  <c r="I88"/>
  <c r="E88"/>
  <c r="Q121"/>
  <c r="P121"/>
  <c r="O121"/>
  <c r="N121"/>
  <c r="M121"/>
  <c r="F121"/>
  <c r="G121"/>
  <c r="H121"/>
  <c r="I121"/>
  <c r="E121"/>
  <c r="B142" l="1"/>
  <c r="B110" i="12" s="1"/>
  <c r="B143" i="8"/>
  <c r="B111" i="12" s="1"/>
  <c r="B144" i="8"/>
  <c r="B112" i="12" s="1"/>
  <c r="B145" i="8"/>
  <c r="B113" i="12" s="1"/>
  <c r="B146" i="8"/>
  <c r="B114" i="12" s="1"/>
  <c r="B141" i="8"/>
  <c r="B109" i="12" s="1"/>
  <c r="B82" l="1"/>
  <c r="K111" i="8" l="1"/>
  <c r="R111" s="1"/>
  <c r="H852" i="10"/>
  <c r="C850"/>
  <c r="B850"/>
  <c r="E111" i="8"/>
  <c r="F111"/>
  <c r="G111"/>
  <c r="H111"/>
  <c r="I111"/>
  <c r="E297" i="10" l="1"/>
  <c r="G55"/>
  <c r="G49"/>
  <c r="G43"/>
  <c r="G37"/>
  <c r="G31"/>
  <c r="B203" i="6" l="1"/>
  <c r="B192"/>
  <c r="B187"/>
  <c r="B179"/>
  <c r="B176"/>
  <c r="B164"/>
  <c r="B143"/>
  <c r="B139"/>
  <c r="B127"/>
  <c r="B120"/>
  <c r="B109"/>
  <c r="B105"/>
  <c r="B115"/>
  <c r="B102"/>
  <c r="B90"/>
  <c r="B85"/>
  <c r="B80"/>
  <c r="B77"/>
  <c r="B74"/>
  <c r="B53"/>
  <c r="B47"/>
  <c r="B28"/>
  <c r="B7"/>
  <c r="B4"/>
  <c r="F436" i="10" l="1"/>
  <c r="G435"/>
  <c r="H435" s="1"/>
  <c r="F424"/>
  <c r="H423"/>
  <c r="F286"/>
  <c r="G285"/>
  <c r="H285" s="1"/>
  <c r="G276"/>
  <c r="G277" s="1"/>
  <c r="F276"/>
  <c r="H275"/>
  <c r="B3" i="12" l="1"/>
  <c r="B5"/>
  <c r="B62" s="1"/>
  <c r="B92" s="1"/>
  <c r="B168" s="1"/>
  <c r="C5"/>
  <c r="C62" s="1"/>
  <c r="C92" s="1"/>
  <c r="C168" s="1"/>
  <c r="B6"/>
  <c r="B7"/>
  <c r="C7"/>
  <c r="B8"/>
  <c r="C8"/>
  <c r="B9"/>
  <c r="C9"/>
  <c r="B10"/>
  <c r="C10"/>
  <c r="B11"/>
  <c r="B12"/>
  <c r="C12"/>
  <c r="B13"/>
  <c r="C13"/>
  <c r="B14"/>
  <c r="C14"/>
  <c r="B15"/>
  <c r="C15"/>
  <c r="B16"/>
  <c r="C16"/>
  <c r="B17"/>
  <c r="C17"/>
  <c r="B18"/>
  <c r="C18"/>
  <c r="B19"/>
  <c r="C19"/>
  <c r="B20"/>
  <c r="C20"/>
  <c r="B21"/>
  <c r="C21"/>
  <c r="B22"/>
  <c r="C22"/>
  <c r="B23"/>
  <c r="C23"/>
  <c r="B24"/>
  <c r="C24"/>
  <c r="B25"/>
  <c r="C25"/>
  <c r="B26"/>
  <c r="C26"/>
  <c r="B27"/>
  <c r="C27"/>
  <c r="B28"/>
  <c r="C28"/>
  <c r="B29"/>
  <c r="C29"/>
  <c r="B30"/>
  <c r="B31"/>
  <c r="C31"/>
  <c r="B32"/>
  <c r="C32"/>
  <c r="C33"/>
  <c r="C34"/>
  <c r="C35"/>
  <c r="B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60"/>
  <c r="B63"/>
  <c r="B64"/>
  <c r="C64"/>
  <c r="B65"/>
  <c r="C65"/>
  <c r="B66"/>
  <c r="B67"/>
  <c r="C67"/>
  <c r="B68"/>
  <c r="C68"/>
  <c r="B69"/>
  <c r="C69"/>
  <c r="B70"/>
  <c r="C70"/>
  <c r="B71"/>
  <c r="B72"/>
  <c r="C72"/>
  <c r="B73"/>
  <c r="C73"/>
  <c r="B74"/>
  <c r="C74"/>
  <c r="B75"/>
  <c r="C75"/>
  <c r="B76"/>
  <c r="B77"/>
  <c r="C77"/>
  <c r="B78"/>
  <c r="C78"/>
  <c r="B79"/>
  <c r="C79"/>
  <c r="B80"/>
  <c r="B81"/>
  <c r="B83"/>
  <c r="C83"/>
  <c r="B84"/>
  <c r="C84"/>
  <c r="B85"/>
  <c r="C85"/>
  <c r="B86"/>
  <c r="C86"/>
  <c r="B87"/>
  <c r="C87"/>
  <c r="B90"/>
  <c r="B93"/>
  <c r="B94"/>
  <c r="C94"/>
  <c r="B95"/>
  <c r="C95"/>
  <c r="B96"/>
  <c r="C96"/>
  <c r="B97"/>
  <c r="B98"/>
  <c r="C98"/>
  <c r="B99"/>
  <c r="C99"/>
  <c r="B100"/>
  <c r="C100"/>
  <c r="B101"/>
  <c r="C101"/>
  <c r="B102"/>
  <c r="C102"/>
  <c r="B103"/>
  <c r="B104"/>
  <c r="C104"/>
  <c r="B105"/>
  <c r="C105"/>
  <c r="B106"/>
  <c r="C106"/>
  <c r="B107"/>
  <c r="C107"/>
  <c r="B108"/>
  <c r="C109"/>
  <c r="C110"/>
  <c r="C111"/>
  <c r="C112"/>
  <c r="C113"/>
  <c r="C114"/>
  <c r="B115"/>
  <c r="B116"/>
  <c r="C116"/>
  <c r="B117"/>
  <c r="C117"/>
  <c r="B118"/>
  <c r="C118"/>
  <c r="B119"/>
  <c r="C119"/>
  <c r="B120"/>
  <c r="C120"/>
  <c r="B121"/>
  <c r="C121"/>
  <c r="B122"/>
  <c r="C122"/>
  <c r="B123"/>
  <c r="C123"/>
  <c r="B124"/>
  <c r="C124"/>
  <c r="B125"/>
  <c r="C125"/>
  <c r="B126"/>
  <c r="C126"/>
  <c r="B127"/>
  <c r="B128"/>
  <c r="C128"/>
  <c r="B129"/>
  <c r="C129"/>
  <c r="B130"/>
  <c r="C130"/>
  <c r="B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B153"/>
  <c r="C153"/>
  <c r="B154"/>
  <c r="C154"/>
  <c r="B155"/>
  <c r="C155"/>
  <c r="B156"/>
  <c r="C156"/>
  <c r="B157"/>
  <c r="C157"/>
  <c r="B158"/>
  <c r="C158"/>
  <c r="B159"/>
  <c r="C159"/>
  <c r="B160"/>
  <c r="C160"/>
  <c r="B161"/>
  <c r="C161"/>
  <c r="B162"/>
  <c r="C162"/>
  <c r="B163"/>
  <c r="C163"/>
  <c r="B166"/>
  <c r="B169"/>
  <c r="B170"/>
  <c r="C170"/>
  <c r="B171"/>
  <c r="C171"/>
  <c r="B172"/>
  <c r="C172"/>
  <c r="B173"/>
  <c r="C173"/>
  <c r="B174"/>
  <c r="C174"/>
  <c r="B175"/>
  <c r="C175"/>
  <c r="B176"/>
  <c r="C176"/>
  <c r="B177"/>
  <c r="B178"/>
  <c r="C178"/>
  <c r="B179"/>
  <c r="C179"/>
  <c r="B180"/>
  <c r="C180"/>
  <c r="B181"/>
  <c r="C181"/>
  <c r="B182"/>
  <c r="B183"/>
  <c r="C183"/>
  <c r="B184"/>
  <c r="C184"/>
  <c r="B185"/>
  <c r="C185"/>
  <c r="B186"/>
  <c r="C186"/>
  <c r="B187"/>
  <c r="C187"/>
  <c r="B188"/>
  <c r="C188"/>
  <c r="B189"/>
  <c r="C189"/>
  <c r="B190"/>
  <c r="C190"/>
  <c r="B191"/>
  <c r="C191"/>
  <c r="B192"/>
  <c r="C192"/>
  <c r="B193"/>
  <c r="B194"/>
  <c r="C194"/>
  <c r="B195"/>
  <c r="C195"/>
  <c r="B196"/>
  <c r="C196"/>
  <c r="B197"/>
  <c r="C197"/>
  <c r="B198"/>
  <c r="C198"/>
  <c r="B199"/>
  <c r="C199"/>
  <c r="B200"/>
  <c r="C200"/>
  <c r="B201"/>
  <c r="C201"/>
  <c r="B202"/>
  <c r="C202"/>
  <c r="B203"/>
  <c r="C203"/>
  <c r="G1678" i="10" l="1"/>
  <c r="H1678" s="1"/>
  <c r="G1677"/>
  <c r="H1677" s="1"/>
  <c r="I217" i="8"/>
  <c r="H217"/>
  <c r="G217"/>
  <c r="F217"/>
  <c r="E217"/>
  <c r="I163" i="6"/>
  <c r="H163"/>
  <c r="G163"/>
  <c r="F163"/>
  <c r="E163"/>
  <c r="B1454" i="10"/>
  <c r="C1454"/>
  <c r="I160" i="6"/>
  <c r="H160"/>
  <c r="G160"/>
  <c r="F160"/>
  <c r="E160"/>
  <c r="B1365" i="10"/>
  <c r="K170" i="8"/>
  <c r="R170" s="1"/>
  <c r="H1376" i="10"/>
  <c r="I67" i="6"/>
  <c r="H67"/>
  <c r="G67"/>
  <c r="F67"/>
  <c r="E67"/>
  <c r="G1679" i="10" l="1"/>
  <c r="B1275"/>
  <c r="C1275"/>
  <c r="G1277"/>
  <c r="H1277" s="1"/>
  <c r="E125" i="6"/>
  <c r="F125" s="1"/>
  <c r="G125" s="1"/>
  <c r="H125" s="1"/>
  <c r="I125" s="1"/>
  <c r="E124"/>
  <c r="F124" s="1"/>
  <c r="G124" s="1"/>
  <c r="H124" s="1"/>
  <c r="I124" s="1"/>
  <c r="E1078" i="10"/>
  <c r="E1081"/>
  <c r="E1077"/>
  <c r="F1062"/>
  <c r="I114" i="6"/>
  <c r="H114"/>
  <c r="G114"/>
  <c r="F114"/>
  <c r="E114"/>
  <c r="F1041" i="10"/>
  <c r="G1041" s="1"/>
  <c r="H1041" s="1"/>
  <c r="F1040"/>
  <c r="G1040" s="1"/>
  <c r="H1040" s="1"/>
  <c r="G1039"/>
  <c r="H1039" s="1"/>
  <c r="G979"/>
  <c r="H979" s="1"/>
  <c r="G978"/>
  <c r="H978" s="1"/>
  <c r="F968"/>
  <c r="F967"/>
  <c r="F965"/>
  <c r="G965" s="1"/>
  <c r="F955"/>
  <c r="F1067" s="1"/>
  <c r="F953"/>
  <c r="F1066" s="1"/>
  <c r="F952"/>
  <c r="F1063"/>
  <c r="E951"/>
  <c r="E952" s="1"/>
  <c r="E953" s="1"/>
  <c r="G1680" l="1"/>
  <c r="G1278"/>
  <c r="K83" i="8"/>
  <c r="R83" s="1"/>
  <c r="G346" i="10"/>
  <c r="F83" i="8"/>
  <c r="G83"/>
  <c r="H83"/>
  <c r="I83"/>
  <c r="E83"/>
  <c r="H1680" i="10" l="1"/>
  <c r="K217" i="8"/>
  <c r="R217" s="1"/>
  <c r="H1278" i="10"/>
  <c r="G1279"/>
  <c r="H1279" s="1"/>
  <c r="H660"/>
  <c r="I95" i="6"/>
  <c r="H95"/>
  <c r="G95"/>
  <c r="F95"/>
  <c r="E95"/>
  <c r="H680" i="10" l="1"/>
  <c r="C679"/>
  <c r="C665"/>
  <c r="B679"/>
  <c r="B665"/>
  <c r="F79" i="6"/>
  <c r="F91" i="8" s="1"/>
  <c r="G79" i="6"/>
  <c r="G91" i="8" s="1"/>
  <c r="H79" i="6"/>
  <c r="H91" i="8" s="1"/>
  <c r="I79" i="6"/>
  <c r="I91" i="8" s="1"/>
  <c r="E79" i="6"/>
  <c r="E91" i="8" s="1"/>
  <c r="G690" i="10"/>
  <c r="H690" s="1"/>
  <c r="G689"/>
  <c r="H689" s="1"/>
  <c r="E81" i="6"/>
  <c r="F81"/>
  <c r="G81"/>
  <c r="H81"/>
  <c r="I81"/>
  <c r="D81"/>
  <c r="K91" i="8" l="1"/>
  <c r="R91" s="1"/>
  <c r="G691" i="10"/>
  <c r="H691" s="1"/>
  <c r="H692" s="1"/>
  <c r="G80"/>
  <c r="H80" s="1"/>
  <c r="G692" l="1"/>
  <c r="K94" i="8" s="1"/>
  <c r="R94" s="1"/>
  <c r="M10"/>
  <c r="M9"/>
  <c r="E6" i="9"/>
  <c r="N10" i="8" s="1"/>
  <c r="E5" i="9"/>
  <c r="F5" s="1"/>
  <c r="M111" i="8" l="1"/>
  <c r="M83"/>
  <c r="N111"/>
  <c r="N217"/>
  <c r="M217"/>
  <c r="N91"/>
  <c r="N83"/>
  <c r="M91"/>
  <c r="G5" i="9"/>
  <c r="O9" i="8"/>
  <c r="F6" i="9"/>
  <c r="N9" i="8"/>
  <c r="F240"/>
  <c r="G240"/>
  <c r="H240"/>
  <c r="I240"/>
  <c r="F241"/>
  <c r="G241"/>
  <c r="H241"/>
  <c r="I241"/>
  <c r="F242"/>
  <c r="G242"/>
  <c r="H242"/>
  <c r="I242"/>
  <c r="F234"/>
  <c r="G234"/>
  <c r="H234"/>
  <c r="I234"/>
  <c r="F235"/>
  <c r="G235"/>
  <c r="H235"/>
  <c r="I235"/>
  <c r="F236"/>
  <c r="G236"/>
  <c r="H236"/>
  <c r="I236"/>
  <c r="F237"/>
  <c r="G237"/>
  <c r="H237"/>
  <c r="I237"/>
  <c r="F238"/>
  <c r="G238"/>
  <c r="H238"/>
  <c r="I238"/>
  <c r="F239"/>
  <c r="G239"/>
  <c r="H239"/>
  <c r="I239"/>
  <c r="F227"/>
  <c r="G227"/>
  <c r="H227"/>
  <c r="I227"/>
  <c r="F228"/>
  <c r="G228"/>
  <c r="H228"/>
  <c r="I228"/>
  <c r="F229"/>
  <c r="G229"/>
  <c r="H229"/>
  <c r="I229"/>
  <c r="F230"/>
  <c r="G230"/>
  <c r="H230"/>
  <c r="I230"/>
  <c r="F221"/>
  <c r="G221"/>
  <c r="H221"/>
  <c r="I221"/>
  <c r="F222"/>
  <c r="G222"/>
  <c r="H222"/>
  <c r="I222"/>
  <c r="F223"/>
  <c r="G223"/>
  <c r="H223"/>
  <c r="I223"/>
  <c r="F224"/>
  <c r="G224"/>
  <c r="H224"/>
  <c r="I224"/>
  <c r="F225"/>
  <c r="G225"/>
  <c r="H225"/>
  <c r="I225"/>
  <c r="F226"/>
  <c r="G226"/>
  <c r="H226"/>
  <c r="I226"/>
  <c r="F215"/>
  <c r="G215"/>
  <c r="H215"/>
  <c r="I215"/>
  <c r="F216"/>
  <c r="G216"/>
  <c r="H216"/>
  <c r="I216"/>
  <c r="F218"/>
  <c r="G218"/>
  <c r="H218"/>
  <c r="I218"/>
  <c r="F210"/>
  <c r="G210"/>
  <c r="H210"/>
  <c r="I210"/>
  <c r="F211"/>
  <c r="G211"/>
  <c r="H211"/>
  <c r="I211"/>
  <c r="F212"/>
  <c r="G212"/>
  <c r="H212"/>
  <c r="I212"/>
  <c r="F208"/>
  <c r="G208"/>
  <c r="H208"/>
  <c r="I208"/>
  <c r="F209"/>
  <c r="G209"/>
  <c r="H209"/>
  <c r="I209"/>
  <c r="F206"/>
  <c r="G206"/>
  <c r="H206"/>
  <c r="I206"/>
  <c r="F197"/>
  <c r="G197"/>
  <c r="H197"/>
  <c r="I197"/>
  <c r="F198"/>
  <c r="G198"/>
  <c r="H198"/>
  <c r="I198"/>
  <c r="F199"/>
  <c r="G199"/>
  <c r="H199"/>
  <c r="I199"/>
  <c r="F194"/>
  <c r="G194"/>
  <c r="H194"/>
  <c r="I194"/>
  <c r="F195"/>
  <c r="G195"/>
  <c r="H195"/>
  <c r="I195"/>
  <c r="F192"/>
  <c r="G192"/>
  <c r="H192"/>
  <c r="I192"/>
  <c r="F190"/>
  <c r="G190"/>
  <c r="H190"/>
  <c r="I190"/>
  <c r="F191"/>
  <c r="G191"/>
  <c r="H191"/>
  <c r="I191"/>
  <c r="F185"/>
  <c r="G185"/>
  <c r="H185"/>
  <c r="I185"/>
  <c r="F186"/>
  <c r="G186"/>
  <c r="H186"/>
  <c r="I186"/>
  <c r="F181"/>
  <c r="G181"/>
  <c r="H181"/>
  <c r="I181"/>
  <c r="F182"/>
  <c r="G182"/>
  <c r="H182"/>
  <c r="I182"/>
  <c r="F183"/>
  <c r="G183"/>
  <c r="H183"/>
  <c r="I183"/>
  <c r="F175"/>
  <c r="G175"/>
  <c r="H175"/>
  <c r="I175"/>
  <c r="F176"/>
  <c r="G176"/>
  <c r="H176"/>
  <c r="I176"/>
  <c r="F177"/>
  <c r="G177"/>
  <c r="H177"/>
  <c r="I177"/>
  <c r="F178"/>
  <c r="G178"/>
  <c r="H178"/>
  <c r="I178"/>
  <c r="F179"/>
  <c r="G179"/>
  <c r="H179"/>
  <c r="I179"/>
  <c r="F169"/>
  <c r="G169"/>
  <c r="H169"/>
  <c r="I169"/>
  <c r="F170"/>
  <c r="N170" s="1"/>
  <c r="G170"/>
  <c r="H170"/>
  <c r="I170"/>
  <c r="F171"/>
  <c r="G171"/>
  <c r="H171"/>
  <c r="I171"/>
  <c r="F172"/>
  <c r="G172"/>
  <c r="H172"/>
  <c r="I172"/>
  <c r="F173"/>
  <c r="G173"/>
  <c r="H173"/>
  <c r="I173"/>
  <c r="F162"/>
  <c r="G162"/>
  <c r="H162"/>
  <c r="I162"/>
  <c r="F163"/>
  <c r="G163"/>
  <c r="H163"/>
  <c r="I163"/>
  <c r="F164"/>
  <c r="G164"/>
  <c r="H164"/>
  <c r="I164"/>
  <c r="F155"/>
  <c r="G155"/>
  <c r="H155"/>
  <c r="I155"/>
  <c r="F156"/>
  <c r="G156"/>
  <c r="H156"/>
  <c r="I156"/>
  <c r="F157"/>
  <c r="G157"/>
  <c r="H157"/>
  <c r="I157"/>
  <c r="F158"/>
  <c r="G158"/>
  <c r="H158"/>
  <c r="I158"/>
  <c r="F159"/>
  <c r="G159"/>
  <c r="H159"/>
  <c r="I159"/>
  <c r="F149"/>
  <c r="G149"/>
  <c r="H149"/>
  <c r="I149"/>
  <c r="F150"/>
  <c r="G150"/>
  <c r="H150"/>
  <c r="I150"/>
  <c r="F151"/>
  <c r="G151"/>
  <c r="H151"/>
  <c r="I151"/>
  <c r="F152"/>
  <c r="G152"/>
  <c r="H152"/>
  <c r="I152"/>
  <c r="F153"/>
  <c r="G153"/>
  <c r="H153"/>
  <c r="I153"/>
  <c r="F154"/>
  <c r="G154"/>
  <c r="H154"/>
  <c r="I154"/>
  <c r="F141"/>
  <c r="G141"/>
  <c r="H141"/>
  <c r="I141"/>
  <c r="F142"/>
  <c r="G142"/>
  <c r="H142"/>
  <c r="I142"/>
  <c r="F143"/>
  <c r="G143"/>
  <c r="H143"/>
  <c r="I143"/>
  <c r="F144"/>
  <c r="G144"/>
  <c r="H144"/>
  <c r="I144"/>
  <c r="F146"/>
  <c r="G146"/>
  <c r="H146"/>
  <c r="I146"/>
  <c r="F135"/>
  <c r="G135"/>
  <c r="H135"/>
  <c r="I135"/>
  <c r="F136"/>
  <c r="G136"/>
  <c r="H136"/>
  <c r="I136"/>
  <c r="F137"/>
  <c r="G137"/>
  <c r="H137"/>
  <c r="I137"/>
  <c r="F138"/>
  <c r="G138"/>
  <c r="H138"/>
  <c r="I138"/>
  <c r="F131"/>
  <c r="G131"/>
  <c r="H131"/>
  <c r="I131"/>
  <c r="F132"/>
  <c r="G132"/>
  <c r="H132"/>
  <c r="I132"/>
  <c r="F129"/>
  <c r="G129"/>
  <c r="H129"/>
  <c r="I129"/>
  <c r="F130"/>
  <c r="G130"/>
  <c r="H130"/>
  <c r="I130"/>
  <c r="F123"/>
  <c r="G123"/>
  <c r="H123"/>
  <c r="I123"/>
  <c r="F124"/>
  <c r="G124"/>
  <c r="H124"/>
  <c r="I124"/>
  <c r="F125"/>
  <c r="G125"/>
  <c r="H125"/>
  <c r="I125"/>
  <c r="E124"/>
  <c r="E125"/>
  <c r="E116"/>
  <c r="F116"/>
  <c r="G116"/>
  <c r="H116"/>
  <c r="I116"/>
  <c r="F115"/>
  <c r="G115"/>
  <c r="H115"/>
  <c r="I115"/>
  <c r="E115"/>
  <c r="F113"/>
  <c r="G113"/>
  <c r="H113"/>
  <c r="I113"/>
  <c r="I110"/>
  <c r="H110"/>
  <c r="G110"/>
  <c r="F110"/>
  <c r="I109"/>
  <c r="H109"/>
  <c r="G109"/>
  <c r="F109"/>
  <c r="I108"/>
  <c r="H108"/>
  <c r="G108"/>
  <c r="F108"/>
  <c r="I107"/>
  <c r="H107"/>
  <c r="G107"/>
  <c r="F107"/>
  <c r="F100"/>
  <c r="G100"/>
  <c r="H100"/>
  <c r="I100"/>
  <c r="F101"/>
  <c r="G101"/>
  <c r="H101"/>
  <c r="I101"/>
  <c r="F102"/>
  <c r="G102"/>
  <c r="H102"/>
  <c r="I102"/>
  <c r="F103"/>
  <c r="G103"/>
  <c r="H103"/>
  <c r="I103"/>
  <c r="F94"/>
  <c r="N94" s="1"/>
  <c r="G94"/>
  <c r="H94"/>
  <c r="I94"/>
  <c r="F95"/>
  <c r="G95"/>
  <c r="H95"/>
  <c r="I95"/>
  <c r="F96"/>
  <c r="G96"/>
  <c r="H96"/>
  <c r="I96"/>
  <c r="F97"/>
  <c r="G97"/>
  <c r="H97"/>
  <c r="I97"/>
  <c r="I90"/>
  <c r="H90"/>
  <c r="G90"/>
  <c r="F90"/>
  <c r="F80"/>
  <c r="G80"/>
  <c r="H80"/>
  <c r="I80"/>
  <c r="F81"/>
  <c r="G81"/>
  <c r="H81"/>
  <c r="I81"/>
  <c r="F82"/>
  <c r="G82"/>
  <c r="H82"/>
  <c r="I82"/>
  <c r="F74"/>
  <c r="G74"/>
  <c r="H74"/>
  <c r="I74"/>
  <c r="F75"/>
  <c r="G75"/>
  <c r="H75"/>
  <c r="I75"/>
  <c r="F76"/>
  <c r="G76"/>
  <c r="H76"/>
  <c r="I76"/>
  <c r="F77"/>
  <c r="G77"/>
  <c r="H77"/>
  <c r="I77"/>
  <c r="F78"/>
  <c r="G78"/>
  <c r="H78"/>
  <c r="I78"/>
  <c r="F70"/>
  <c r="G70"/>
  <c r="H70"/>
  <c r="I70"/>
  <c r="F71"/>
  <c r="G71"/>
  <c r="H71"/>
  <c r="I71"/>
  <c r="F72"/>
  <c r="G72"/>
  <c r="H72"/>
  <c r="I72"/>
  <c r="F65"/>
  <c r="G65"/>
  <c r="H65"/>
  <c r="I65"/>
  <c r="F66"/>
  <c r="G66"/>
  <c r="H66"/>
  <c r="I66"/>
  <c r="F67"/>
  <c r="G67"/>
  <c r="H67"/>
  <c r="I67"/>
  <c r="F68"/>
  <c r="G68"/>
  <c r="H68"/>
  <c r="I68"/>
  <c r="F57"/>
  <c r="G57"/>
  <c r="H57"/>
  <c r="I57"/>
  <c r="F58"/>
  <c r="G58"/>
  <c r="H58"/>
  <c r="I58"/>
  <c r="F59"/>
  <c r="G59"/>
  <c r="H59"/>
  <c r="I59"/>
  <c r="F60"/>
  <c r="G60"/>
  <c r="H60"/>
  <c r="I60"/>
  <c r="F61"/>
  <c r="G61"/>
  <c r="H61"/>
  <c r="I61"/>
  <c r="F53"/>
  <c r="G53"/>
  <c r="H53"/>
  <c r="I53"/>
  <c r="F54"/>
  <c r="G54"/>
  <c r="H54"/>
  <c r="I54"/>
  <c r="F49"/>
  <c r="G49"/>
  <c r="H49"/>
  <c r="I49"/>
  <c r="F50"/>
  <c r="G50"/>
  <c r="H50"/>
  <c r="I50"/>
  <c r="F51"/>
  <c r="G51"/>
  <c r="H51"/>
  <c r="I51"/>
  <c r="F43"/>
  <c r="G43"/>
  <c r="H43"/>
  <c r="I43"/>
  <c r="F44"/>
  <c r="G44"/>
  <c r="H44"/>
  <c r="I44"/>
  <c r="F45"/>
  <c r="G45"/>
  <c r="H45"/>
  <c r="I45"/>
  <c r="F46"/>
  <c r="G46"/>
  <c r="H46"/>
  <c r="I46"/>
  <c r="F47"/>
  <c r="G47"/>
  <c r="H47"/>
  <c r="I47"/>
  <c r="F48"/>
  <c r="G48"/>
  <c r="H48"/>
  <c r="I48"/>
  <c r="F39"/>
  <c r="G39"/>
  <c r="H39"/>
  <c r="I39"/>
  <c r="F40"/>
  <c r="G40"/>
  <c r="H40"/>
  <c r="I40"/>
  <c r="F41"/>
  <c r="G41"/>
  <c r="H41"/>
  <c r="I41"/>
  <c r="G6" i="9" l="1"/>
  <c r="O10" i="8"/>
  <c r="H5" i="9"/>
  <c r="Q9" i="8" s="1"/>
  <c r="P9"/>
  <c r="G1758" i="10"/>
  <c r="G1634"/>
  <c r="H1634" s="1"/>
  <c r="O111" i="8" l="1"/>
  <c r="O217"/>
  <c r="O94"/>
  <c r="O170"/>
  <c r="O91"/>
  <c r="O83"/>
  <c r="H6" i="9"/>
  <c r="Q10" i="8" s="1"/>
  <c r="P10"/>
  <c r="G1619" i="10"/>
  <c r="E209" i="8"/>
  <c r="E208"/>
  <c r="G1631" i="10"/>
  <c r="H1631" s="1"/>
  <c r="E211" i="8"/>
  <c r="G674" i="10"/>
  <c r="G672"/>
  <c r="G668"/>
  <c r="G667"/>
  <c r="Q111" i="8" l="1"/>
  <c r="Q217"/>
  <c r="Q94"/>
  <c r="Q170"/>
  <c r="P111"/>
  <c r="S111" s="1"/>
  <c r="P217"/>
  <c r="S217" s="1"/>
  <c r="P94"/>
  <c r="P170"/>
  <c r="Q91"/>
  <c r="Q83"/>
  <c r="S83" s="1"/>
  <c r="P91"/>
  <c r="S91" s="1"/>
  <c r="P83"/>
  <c r="G669" i="10"/>
  <c r="E82" i="8"/>
  <c r="E80"/>
  <c r="E71"/>
  <c r="E72"/>
  <c r="K34"/>
  <c r="R34" s="1"/>
  <c r="E34"/>
  <c r="F34"/>
  <c r="G34"/>
  <c r="H34"/>
  <c r="I34"/>
  <c r="H160" i="10"/>
  <c r="G504"/>
  <c r="G505" s="1"/>
  <c r="K68" i="8"/>
  <c r="R68" s="1"/>
  <c r="E68"/>
  <c r="H513" i="10"/>
  <c r="E58" i="8"/>
  <c r="E59"/>
  <c r="E60"/>
  <c r="E61"/>
  <c r="E51"/>
  <c r="E44"/>
  <c r="E45"/>
  <c r="E46"/>
  <c r="E43"/>
  <c r="E38"/>
  <c r="P68" l="1"/>
  <c r="O68"/>
  <c r="N68"/>
  <c r="Q68"/>
  <c r="M68"/>
  <c r="S68" s="1"/>
  <c r="M34"/>
  <c r="F22"/>
  <c r="G22"/>
  <c r="H22"/>
  <c r="I22"/>
  <c r="H38"/>
  <c r="F26" i="6"/>
  <c r="F32" i="8" s="1"/>
  <c r="G26" i="6"/>
  <c r="G32" i="8" s="1"/>
  <c r="H26" i="6"/>
  <c r="H32" i="8" s="1"/>
  <c r="I26" i="6"/>
  <c r="I32" i="8" s="1"/>
  <c r="E26" i="6"/>
  <c r="F25"/>
  <c r="F31" i="8" s="1"/>
  <c r="G25" i="6"/>
  <c r="G31" i="8" s="1"/>
  <c r="H25" i="6"/>
  <c r="H31" i="8" s="1"/>
  <c r="I25" i="6"/>
  <c r="I31" i="8" s="1"/>
  <c r="E25" i="6"/>
  <c r="F16" l="1"/>
  <c r="G16"/>
  <c r="H16"/>
  <c r="I16"/>
  <c r="E16"/>
  <c r="E24" s="1"/>
  <c r="E29" i="8" s="1"/>
  <c r="F15" i="6"/>
  <c r="G15"/>
  <c r="H15"/>
  <c r="I15"/>
  <c r="E15"/>
  <c r="E23" s="1"/>
  <c r="E28" i="8" s="1"/>
  <c r="F13" i="6"/>
  <c r="G13"/>
  <c r="H13"/>
  <c r="I13"/>
  <c r="E13"/>
  <c r="E21" s="1"/>
  <c r="E26" i="8" s="1"/>
  <c r="F14" i="6"/>
  <c r="G14"/>
  <c r="H14"/>
  <c r="I14"/>
  <c r="E14"/>
  <c r="E22" s="1"/>
  <c r="E27" i="8" s="1"/>
  <c r="F12" i="6"/>
  <c r="G12"/>
  <c r="H12"/>
  <c r="I12"/>
  <c r="E12"/>
  <c r="E20" s="1"/>
  <c r="F11"/>
  <c r="F15" i="8" s="1"/>
  <c r="G11" i="6"/>
  <c r="G15" i="8" s="1"/>
  <c r="H11" i="6"/>
  <c r="H15" i="8" s="1"/>
  <c r="I11" i="6"/>
  <c r="I15" i="8" s="1"/>
  <c r="E11" i="6"/>
  <c r="F10"/>
  <c r="F14" i="8" s="1"/>
  <c r="G10" i="6"/>
  <c r="G14" i="8" s="1"/>
  <c r="H10" i="6"/>
  <c r="H14" i="8" s="1"/>
  <c r="I10" i="6"/>
  <c r="I14" i="8" s="1"/>
  <c r="E10" i="6"/>
  <c r="F9"/>
  <c r="F13" i="8" s="1"/>
  <c r="G9" i="6"/>
  <c r="G13" i="8" s="1"/>
  <c r="H9" i="6"/>
  <c r="H13" i="8" s="1"/>
  <c r="I9" i="6"/>
  <c r="I13" i="8" s="1"/>
  <c r="E9" i="6"/>
  <c r="I145" i="8"/>
  <c r="G105" i="10"/>
  <c r="G86"/>
  <c r="I17" i="6" l="1"/>
  <c r="I21" i="8" s="1"/>
  <c r="I8" i="6"/>
  <c r="I19" s="1"/>
  <c r="I24" i="8" s="1"/>
  <c r="H12"/>
  <c r="H16"/>
  <c r="H20" i="6"/>
  <c r="H25" i="8" s="1"/>
  <c r="I18"/>
  <c r="I22" i="6"/>
  <c r="I27" i="8" s="1"/>
  <c r="F17"/>
  <c r="F21" i="6"/>
  <c r="F26" i="8" s="1"/>
  <c r="G19"/>
  <c r="G23" i="6"/>
  <c r="G28" i="8" s="1"/>
  <c r="H20"/>
  <c r="H24" i="6"/>
  <c r="H29" i="8" s="1"/>
  <c r="G16"/>
  <c r="G20" i="6"/>
  <c r="G25" i="8" s="1"/>
  <c r="H18"/>
  <c r="H22" i="6"/>
  <c r="H27" i="8" s="1"/>
  <c r="I21" i="6"/>
  <c r="I26" i="8" s="1"/>
  <c r="I17"/>
  <c r="F23" i="6"/>
  <c r="F28" i="8" s="1"/>
  <c r="F19"/>
  <c r="G20"/>
  <c r="G24" i="6"/>
  <c r="G29" i="8" s="1"/>
  <c r="F20" i="6"/>
  <c r="F25" i="8" s="1"/>
  <c r="F16"/>
  <c r="G18"/>
  <c r="G22" i="6"/>
  <c r="G27" i="8" s="1"/>
  <c r="H17"/>
  <c r="H21" i="6"/>
  <c r="H26" i="8" s="1"/>
  <c r="I19"/>
  <c r="I23" i="6"/>
  <c r="I28" i="8" s="1"/>
  <c r="F24" i="6"/>
  <c r="F29" i="8" s="1"/>
  <c r="F20"/>
  <c r="I20" i="6"/>
  <c r="I25" i="8" s="1"/>
  <c r="I16"/>
  <c r="F18"/>
  <c r="F22" i="6"/>
  <c r="F27" i="8" s="1"/>
  <c r="G17"/>
  <c r="G21" i="6"/>
  <c r="G26" i="8" s="1"/>
  <c r="H19"/>
  <c r="H23" i="6"/>
  <c r="H28" i="8" s="1"/>
  <c r="I24" i="6"/>
  <c r="I29" i="8" s="1"/>
  <c r="I20"/>
  <c r="E17" i="6"/>
  <c r="C985" i="10"/>
  <c r="G1648"/>
  <c r="H1648" s="1"/>
  <c r="F1647"/>
  <c r="G1646"/>
  <c r="H1646" s="1"/>
  <c r="G1645"/>
  <c r="H1645" s="1"/>
  <c r="G1644"/>
  <c r="H1644" s="1"/>
  <c r="G1643"/>
  <c r="H1643" s="1"/>
  <c r="G1642"/>
  <c r="H1642" s="1"/>
  <c r="H1649"/>
  <c r="E212" i="8"/>
  <c r="D212"/>
  <c r="C1639" i="10"/>
  <c r="B212" i="8"/>
  <c r="B1639" i="10" s="1"/>
  <c r="G1647" l="1"/>
  <c r="K13" i="8"/>
  <c r="R13" s="1"/>
  <c r="K14"/>
  <c r="R14" s="1"/>
  <c r="F449" i="10"/>
  <c r="G449" s="1"/>
  <c r="H449" s="1"/>
  <c r="F448"/>
  <c r="D449"/>
  <c r="E448"/>
  <c r="D52" i="6"/>
  <c r="C445" i="10"/>
  <c r="E431"/>
  <c r="G431" s="1"/>
  <c r="H431" s="1"/>
  <c r="E430"/>
  <c r="G430" s="1"/>
  <c r="H430" s="1"/>
  <c r="E419"/>
  <c r="H419" s="1"/>
  <c r="E418"/>
  <c r="H418" s="1"/>
  <c r="G436"/>
  <c r="H436" s="1"/>
  <c r="G434"/>
  <c r="H434" s="1"/>
  <c r="G433"/>
  <c r="H433" s="1"/>
  <c r="G432"/>
  <c r="H432" s="1"/>
  <c r="G429"/>
  <c r="H429" s="1"/>
  <c r="H424"/>
  <c r="H422"/>
  <c r="H421"/>
  <c r="H420"/>
  <c r="H417"/>
  <c r="D60" i="8"/>
  <c r="D61" s="1"/>
  <c r="C413" i="10"/>
  <c r="G407"/>
  <c r="H407" s="1"/>
  <c r="F405"/>
  <c r="G405" s="1"/>
  <c r="H405" s="1"/>
  <c r="F404"/>
  <c r="H404" s="1"/>
  <c r="C400"/>
  <c r="Q13" i="8" l="1"/>
  <c r="O13"/>
  <c r="P13"/>
  <c r="N13"/>
  <c r="N14"/>
  <c r="P14"/>
  <c r="Q14"/>
  <c r="O14"/>
  <c r="G1650" i="10"/>
  <c r="H1650" s="1"/>
  <c r="H1647"/>
  <c r="G448"/>
  <c r="H448" s="1"/>
  <c r="G437"/>
  <c r="H437" s="1"/>
  <c r="G425"/>
  <c r="G406"/>
  <c r="H406" s="1"/>
  <c r="G1651" l="1"/>
  <c r="H1651" s="1"/>
  <c r="G450"/>
  <c r="H450" s="1"/>
  <c r="G426"/>
  <c r="H425"/>
  <c r="G438"/>
  <c r="H408"/>
  <c r="K212" i="8" l="1"/>
  <c r="R212" s="1"/>
  <c r="G451" i="10"/>
  <c r="K61" i="8" s="1"/>
  <c r="R61" s="1"/>
  <c r="G439" i="10"/>
  <c r="H438"/>
  <c r="G409"/>
  <c r="H409" s="1"/>
  <c r="H426"/>
  <c r="O61" i="8" l="1"/>
  <c r="P61"/>
  <c r="Q61"/>
  <c r="N61"/>
  <c r="M61"/>
  <c r="S61" s="1"/>
  <c r="Q212"/>
  <c r="N212"/>
  <c r="O212"/>
  <c r="P212"/>
  <c r="M212"/>
  <c r="H451" i="10"/>
  <c r="K59" i="8"/>
  <c r="R59" s="1"/>
  <c r="H439" i="10"/>
  <c r="G440"/>
  <c r="G441" s="1"/>
  <c r="S212" i="8" l="1"/>
  <c r="N59"/>
  <c r="O59"/>
  <c r="P59"/>
  <c r="Q59"/>
  <c r="M59"/>
  <c r="H440" i="10"/>
  <c r="S59" i="8" l="1"/>
  <c r="H441" i="10"/>
  <c r="K60" i="8"/>
  <c r="R60" s="1"/>
  <c r="Q60" l="1"/>
  <c r="O60"/>
  <c r="P60"/>
  <c r="N60"/>
  <c r="M60"/>
  <c r="S60" s="1"/>
  <c r="E281" i="10"/>
  <c r="G281" s="1"/>
  <c r="H281" s="1"/>
  <c r="E280"/>
  <c r="B253"/>
  <c r="H259"/>
  <c r="F257"/>
  <c r="G257" s="1"/>
  <c r="H257" s="1"/>
  <c r="F256"/>
  <c r="H256" s="1"/>
  <c r="D46" i="8"/>
  <c r="C253" i="10"/>
  <c r="E48" i="8"/>
  <c r="E47"/>
  <c r="C294" i="10"/>
  <c r="B294"/>
  <c r="G280"/>
  <c r="H280" s="1"/>
  <c r="H269"/>
  <c r="E271"/>
  <c r="H271" s="1"/>
  <c r="E270"/>
  <c r="H270" s="1"/>
  <c r="G286"/>
  <c r="H286" s="1"/>
  <c r="G284"/>
  <c r="H284" s="1"/>
  <c r="G283"/>
  <c r="H283" s="1"/>
  <c r="G282"/>
  <c r="H282" s="1"/>
  <c r="G279"/>
  <c r="H279" s="1"/>
  <c r="B305"/>
  <c r="C305"/>
  <c r="C265"/>
  <c r="B265"/>
  <c r="H276"/>
  <c r="H274"/>
  <c r="H273"/>
  <c r="H272"/>
  <c r="B686"/>
  <c r="H145" i="8"/>
  <c r="G145"/>
  <c r="F145"/>
  <c r="K209"/>
  <c r="R209" s="1"/>
  <c r="N209" l="1"/>
  <c r="P209"/>
  <c r="O209"/>
  <c r="Q209"/>
  <c r="K208"/>
  <c r="R208" s="1"/>
  <c r="R207" s="1"/>
  <c r="M209"/>
  <c r="G258" i="10"/>
  <c r="H297"/>
  <c r="G299"/>
  <c r="G287"/>
  <c r="H287" s="1"/>
  <c r="S209" i="8" l="1"/>
  <c r="M208"/>
  <c r="N208"/>
  <c r="N207" s="1"/>
  <c r="P208"/>
  <c r="P207" s="1"/>
  <c r="O208"/>
  <c r="O207" s="1"/>
  <c r="Q208"/>
  <c r="Q207" s="1"/>
  <c r="G288" i="10"/>
  <c r="H298"/>
  <c r="H258"/>
  <c r="G260"/>
  <c r="H260" s="1"/>
  <c r="H277"/>
  <c r="G729"/>
  <c r="H729" s="1"/>
  <c r="G715"/>
  <c r="H715" s="1"/>
  <c r="G675"/>
  <c r="G676" s="1"/>
  <c r="H669"/>
  <c r="H346"/>
  <c r="H192"/>
  <c r="E176" i="8"/>
  <c r="E175"/>
  <c r="H503" i="10"/>
  <c r="H500"/>
  <c r="H481"/>
  <c r="H654"/>
  <c r="H674"/>
  <c r="H673"/>
  <c r="H672"/>
  <c r="H671"/>
  <c r="H670"/>
  <c r="H668"/>
  <c r="H667"/>
  <c r="H934"/>
  <c r="G1180"/>
  <c r="H1180" s="1"/>
  <c r="G1172"/>
  <c r="H1172" s="1"/>
  <c r="G1171"/>
  <c r="H1171" s="1"/>
  <c r="G1170"/>
  <c r="H1170" s="1"/>
  <c r="G1169"/>
  <c r="H1169" s="1"/>
  <c r="G1168"/>
  <c r="H1168" s="1"/>
  <c r="H1223"/>
  <c r="H1331"/>
  <c r="H1661"/>
  <c r="H1660"/>
  <c r="H1659"/>
  <c r="H1658"/>
  <c r="H1657"/>
  <c r="G1762"/>
  <c r="H1762" s="1"/>
  <c r="H241"/>
  <c r="H240"/>
  <c r="H239"/>
  <c r="H238"/>
  <c r="H237"/>
  <c r="H229"/>
  <c r="H228"/>
  <c r="H227"/>
  <c r="H226"/>
  <c r="H225"/>
  <c r="H171"/>
  <c r="H173"/>
  <c r="H172"/>
  <c r="H170"/>
  <c r="H169"/>
  <c r="H168"/>
  <c r="H167"/>
  <c r="H153"/>
  <c r="H105"/>
  <c r="H98"/>
  <c r="H92"/>
  <c r="H75"/>
  <c r="H55"/>
  <c r="H49"/>
  <c r="H43"/>
  <c r="E1722"/>
  <c r="G1663"/>
  <c r="H1618"/>
  <c r="H1612"/>
  <c r="H1611"/>
  <c r="H1446"/>
  <c r="G1445"/>
  <c r="G1330"/>
  <c r="H1330" s="1"/>
  <c r="G1329"/>
  <c r="H1329" s="1"/>
  <c r="M207" i="8" l="1"/>
  <c r="S207" s="1"/>
  <c r="S208"/>
  <c r="H1445" i="10"/>
  <c r="G1447"/>
  <c r="G289"/>
  <c r="H288"/>
  <c r="G300"/>
  <c r="H300" s="1"/>
  <c r="H299"/>
  <c r="G261"/>
  <c r="H1662"/>
  <c r="G174"/>
  <c r="H1663"/>
  <c r="K215" i="8"/>
  <c r="R215" s="1"/>
  <c r="G1332" i="10"/>
  <c r="G1224"/>
  <c r="G1225" s="1"/>
  <c r="N215" i="8" l="1"/>
  <c r="P215"/>
  <c r="O215"/>
  <c r="Q215"/>
  <c r="G290" i="10"/>
  <c r="H289"/>
  <c r="K48" i="8"/>
  <c r="R48" s="1"/>
  <c r="H261" i="10"/>
  <c r="K46" i="8"/>
  <c r="R46" s="1"/>
  <c r="G1448" i="10"/>
  <c r="H1447"/>
  <c r="H1224"/>
  <c r="G1333"/>
  <c r="H1332"/>
  <c r="H1671"/>
  <c r="G1173"/>
  <c r="M46" i="8" l="1"/>
  <c r="M48"/>
  <c r="K47"/>
  <c r="H290" i="10"/>
  <c r="H1173"/>
  <c r="H1619"/>
  <c r="H1448"/>
  <c r="H1225"/>
  <c r="H1333"/>
  <c r="G1105"/>
  <c r="H1105" s="1"/>
  <c r="N47" i="8" l="1"/>
  <c r="R47"/>
  <c r="M47"/>
  <c r="F778" i="10"/>
  <c r="G732"/>
  <c r="H732" s="1"/>
  <c r="G733"/>
  <c r="H733" s="1"/>
  <c r="G731"/>
  <c r="H731" s="1"/>
  <c r="G719"/>
  <c r="H719" s="1"/>
  <c r="G718"/>
  <c r="H718" s="1"/>
  <c r="G717"/>
  <c r="H717" s="1"/>
  <c r="E625"/>
  <c r="G605" l="1"/>
  <c r="H605" s="1"/>
  <c r="H604"/>
  <c r="E381"/>
  <c r="G231"/>
  <c r="H174"/>
  <c r="G112"/>
  <c r="H230" l="1"/>
  <c r="G119"/>
  <c r="G126" s="1"/>
  <c r="H126" s="1"/>
  <c r="H112"/>
  <c r="G243"/>
  <c r="H242"/>
  <c r="H17" i="6"/>
  <c r="H21" i="8" s="1"/>
  <c r="G17" i="6"/>
  <c r="G21" i="8" s="1"/>
  <c r="F17" i="6"/>
  <c r="F21" i="8" s="1"/>
  <c r="H119" i="10" l="1"/>
  <c r="H231"/>
  <c r="H243"/>
  <c r="E1538"/>
  <c r="E1534"/>
  <c r="E1533"/>
  <c r="E1567"/>
  <c r="E1550"/>
  <c r="E1551"/>
  <c r="G1737"/>
  <c r="G1746"/>
  <c r="H1746" s="1"/>
  <c r="H1885"/>
  <c r="G1874"/>
  <c r="G1690"/>
  <c r="H1690" s="1"/>
  <c r="G1691"/>
  <c r="H1691" s="1"/>
  <c r="G1692"/>
  <c r="H1692" s="1"/>
  <c r="G1693"/>
  <c r="H1693" s="1"/>
  <c r="G1689"/>
  <c r="H1689" s="1"/>
  <c r="C1589"/>
  <c r="G1473"/>
  <c r="G821"/>
  <c r="H821" s="1"/>
  <c r="G822"/>
  <c r="H822" s="1"/>
  <c r="G823"/>
  <c r="H823" s="1"/>
  <c r="G824"/>
  <c r="H824" s="1"/>
  <c r="G825"/>
  <c r="H825" s="1"/>
  <c r="G818"/>
  <c r="H818" s="1"/>
  <c r="G864"/>
  <c r="H864" s="1"/>
  <c r="G865"/>
  <c r="H865" s="1"/>
  <c r="G866"/>
  <c r="H866" s="1"/>
  <c r="G867"/>
  <c r="H867" s="1"/>
  <c r="G861"/>
  <c r="H861" s="1"/>
  <c r="E863"/>
  <c r="G863" s="1"/>
  <c r="H863" s="1"/>
  <c r="E862"/>
  <c r="G862" s="1"/>
  <c r="H862" s="1"/>
  <c r="G1895" l="1"/>
  <c r="H1895" s="1"/>
  <c r="H1894"/>
  <c r="H1473"/>
  <c r="G1875"/>
  <c r="H1875" s="1"/>
  <c r="H1874"/>
  <c r="G1738"/>
  <c r="H1738" s="1"/>
  <c r="H1737"/>
  <c r="H1793"/>
  <c r="G1886"/>
  <c r="G1694"/>
  <c r="G1474"/>
  <c r="G868"/>
  <c r="G606"/>
  <c r="G1896" l="1"/>
  <c r="H1896" s="1"/>
  <c r="G1739"/>
  <c r="H1739" s="1"/>
  <c r="G1876"/>
  <c r="H1876" s="1"/>
  <c r="H606"/>
  <c r="G1695"/>
  <c r="H1694"/>
  <c r="H1474"/>
  <c r="G1475"/>
  <c r="G869"/>
  <c r="H869" s="1"/>
  <c r="H868"/>
  <c r="G1887"/>
  <c r="H1886"/>
  <c r="F768"/>
  <c r="E1760"/>
  <c r="E1759"/>
  <c r="G1759" s="1"/>
  <c r="E223" i="8"/>
  <c r="E1196" i="10"/>
  <c r="E1195"/>
  <c r="E1194"/>
  <c r="H1887" l="1"/>
  <c r="H1475"/>
  <c r="K186" i="8"/>
  <c r="R186" s="1"/>
  <c r="H1695" i="10"/>
  <c r="G755"/>
  <c r="H755" s="1"/>
  <c r="F577"/>
  <c r="G577" s="1"/>
  <c r="H577" s="1"/>
  <c r="G576"/>
  <c r="H576" s="1"/>
  <c r="F562"/>
  <c r="G562" s="1"/>
  <c r="H562" s="1"/>
  <c r="G561"/>
  <c r="H561" s="1"/>
  <c r="O186" i="8" l="1"/>
  <c r="N186"/>
  <c r="P186"/>
  <c r="Q186"/>
  <c r="G578" i="10"/>
  <c r="H578" s="1"/>
  <c r="G563"/>
  <c r="H462"/>
  <c r="F460"/>
  <c r="G460" s="1"/>
  <c r="H460" s="1"/>
  <c r="F459"/>
  <c r="H459" s="1"/>
  <c r="H394"/>
  <c r="F392"/>
  <c r="H392" s="1"/>
  <c r="F391"/>
  <c r="H391" s="1"/>
  <c r="G376"/>
  <c r="H376" s="1"/>
  <c r="G375"/>
  <c r="H375" s="1"/>
  <c r="G372"/>
  <c r="H372" s="1"/>
  <c r="G373"/>
  <c r="H373" s="1"/>
  <c r="G374"/>
  <c r="H374" s="1"/>
  <c r="G371"/>
  <c r="H371" s="1"/>
  <c r="G133"/>
  <c r="H564" l="1"/>
  <c r="H563"/>
  <c r="H133"/>
  <c r="G461"/>
  <c r="H461" s="1"/>
  <c r="G377"/>
  <c r="G378" l="1"/>
  <c r="H378" s="1"/>
  <c r="H377"/>
  <c r="G395"/>
  <c r="H395" s="1"/>
  <c r="H393"/>
  <c r="G565"/>
  <c r="G463"/>
  <c r="K74" i="8" l="1"/>
  <c r="R74" s="1"/>
  <c r="H565" i="10"/>
  <c r="G464"/>
  <c r="H463"/>
  <c r="G396"/>
  <c r="K58" i="8" s="1"/>
  <c r="R58" s="1"/>
  <c r="G379" i="10"/>
  <c r="C248"/>
  <c r="G1106"/>
  <c r="H1106" s="1"/>
  <c r="G1098"/>
  <c r="H1098" s="1"/>
  <c r="G1099"/>
  <c r="H1099" s="1"/>
  <c r="G1100"/>
  <c r="H1100" s="1"/>
  <c r="G1101"/>
  <c r="H1101" s="1"/>
  <c r="G1097"/>
  <c r="H1097" s="1"/>
  <c r="B874"/>
  <c r="G181"/>
  <c r="H181" s="1"/>
  <c r="G182"/>
  <c r="H182" s="1"/>
  <c r="G183"/>
  <c r="H183" s="1"/>
  <c r="G180"/>
  <c r="P58" i="8" l="1"/>
  <c r="O58"/>
  <c r="Q58"/>
  <c r="N58"/>
  <c r="M58"/>
  <c r="S58" s="1"/>
  <c r="H180" i="10"/>
  <c r="H379"/>
  <c r="H396"/>
  <c r="K65" i="8"/>
  <c r="R65" s="1"/>
  <c r="H464" i="10"/>
  <c r="G184"/>
  <c r="G185" s="1"/>
  <c r="G1107"/>
  <c r="G1102"/>
  <c r="G1103" s="1"/>
  <c r="O65" i="8" l="1"/>
  <c r="P65"/>
  <c r="Q65"/>
  <c r="N65"/>
  <c r="G1108" i="10"/>
  <c r="H1107"/>
  <c r="H1103"/>
  <c r="H1102"/>
  <c r="K39" i="8"/>
  <c r="R39" s="1"/>
  <c r="H184" i="10"/>
  <c r="B1901"/>
  <c r="B1892"/>
  <c r="B1881"/>
  <c r="K239" i="8"/>
  <c r="R239" s="1"/>
  <c r="B1869" i="10"/>
  <c r="B1857"/>
  <c r="F1861"/>
  <c r="G1861" s="1"/>
  <c r="H1861" s="1"/>
  <c r="G1860"/>
  <c r="H1860" s="1"/>
  <c r="G1850"/>
  <c r="H1850" s="1"/>
  <c r="G1849"/>
  <c r="H1849" s="1"/>
  <c r="F1847"/>
  <c r="G1847" s="1"/>
  <c r="H1847" s="1"/>
  <c r="G1846"/>
  <c r="H1846" s="1"/>
  <c r="B1843"/>
  <c r="G1813"/>
  <c r="H1813" s="1"/>
  <c r="G1812"/>
  <c r="H1812" s="1"/>
  <c r="F1810"/>
  <c r="G1810" s="1"/>
  <c r="H1810" s="1"/>
  <c r="G1809"/>
  <c r="H1809" s="1"/>
  <c r="B1829"/>
  <c r="G1836"/>
  <c r="H1836" s="1"/>
  <c r="G1835"/>
  <c r="H1835" s="1"/>
  <c r="F1833"/>
  <c r="G1833" s="1"/>
  <c r="H1833" s="1"/>
  <c r="G1832"/>
  <c r="H1832" s="1"/>
  <c r="B1819"/>
  <c r="F1823"/>
  <c r="G1823" s="1"/>
  <c r="H1823" s="1"/>
  <c r="G1822"/>
  <c r="H1822" s="1"/>
  <c r="C1829"/>
  <c r="B1804"/>
  <c r="B1806"/>
  <c r="B1797"/>
  <c r="B1791"/>
  <c r="B1780"/>
  <c r="G1773"/>
  <c r="H1773" s="1"/>
  <c r="G1774"/>
  <c r="H1774" s="1"/>
  <c r="B1771"/>
  <c r="G1760"/>
  <c r="H1760" s="1"/>
  <c r="H1759"/>
  <c r="G1764"/>
  <c r="H1764" s="1"/>
  <c r="G1763"/>
  <c r="H1763" s="1"/>
  <c r="G1761"/>
  <c r="H1761" s="1"/>
  <c r="H1758"/>
  <c r="B1756"/>
  <c r="G1750"/>
  <c r="H1750" s="1"/>
  <c r="G1749"/>
  <c r="H1749" s="1"/>
  <c r="G1748"/>
  <c r="H1748" s="1"/>
  <c r="G1747"/>
  <c r="H1747" s="1"/>
  <c r="B1743"/>
  <c r="K224" i="8"/>
  <c r="R224" s="1"/>
  <c r="B1732" i="10"/>
  <c r="B1718"/>
  <c r="G1722"/>
  <c r="H1722" s="1"/>
  <c r="G1723"/>
  <c r="H1723" s="1"/>
  <c r="G1724"/>
  <c r="H1724" s="1"/>
  <c r="G1725"/>
  <c r="H1725" s="1"/>
  <c r="G1721"/>
  <c r="H1721" s="1"/>
  <c r="F1711"/>
  <c r="G1711" s="1"/>
  <c r="H1711" s="1"/>
  <c r="G1710"/>
  <c r="H1710" s="1"/>
  <c r="B1707"/>
  <c r="B1700"/>
  <c r="B1685"/>
  <c r="B1668"/>
  <c r="B1655"/>
  <c r="G1633"/>
  <c r="H1633" s="1"/>
  <c r="F1629"/>
  <c r="G1629" s="1"/>
  <c r="H1629" s="1"/>
  <c r="G1632"/>
  <c r="H1632" s="1"/>
  <c r="F1628"/>
  <c r="G1628" s="1"/>
  <c r="H1628" s="1"/>
  <c r="B1624"/>
  <c r="B1616"/>
  <c r="B1609"/>
  <c r="F1603"/>
  <c r="G1603" s="1"/>
  <c r="H1603" s="1"/>
  <c r="G1602"/>
  <c r="H1602" s="1"/>
  <c r="B1598"/>
  <c r="G1592"/>
  <c r="H1592" s="1"/>
  <c r="G1591"/>
  <c r="H1591" s="1"/>
  <c r="B1589"/>
  <c r="G1583"/>
  <c r="H1583" s="1"/>
  <c r="G1582"/>
  <c r="H1582" s="1"/>
  <c r="B1580"/>
  <c r="G1568"/>
  <c r="H1568" s="1"/>
  <c r="G1567"/>
  <c r="H1567" s="1"/>
  <c r="E1572"/>
  <c r="G1572" s="1"/>
  <c r="H1572" s="1"/>
  <c r="G1571"/>
  <c r="H1571" s="1"/>
  <c r="G1570"/>
  <c r="H1570" s="1"/>
  <c r="G1569"/>
  <c r="H1569" s="1"/>
  <c r="B1563"/>
  <c r="G1533"/>
  <c r="H1533" s="1"/>
  <c r="G1538"/>
  <c r="H1538" s="1"/>
  <c r="G1554"/>
  <c r="H1554" s="1"/>
  <c r="G1553"/>
  <c r="H1553" s="1"/>
  <c r="G1552"/>
  <c r="H1552" s="1"/>
  <c r="G1551"/>
  <c r="H1551" s="1"/>
  <c r="G1550"/>
  <c r="H1550" s="1"/>
  <c r="G1549"/>
  <c r="H1549" s="1"/>
  <c r="B1546"/>
  <c r="G1537"/>
  <c r="H1537" s="1"/>
  <c r="G1536"/>
  <c r="H1536" s="1"/>
  <c r="G1535"/>
  <c r="H1535" s="1"/>
  <c r="G1534"/>
  <c r="H1534" s="1"/>
  <c r="B1529"/>
  <c r="B1517"/>
  <c r="G1508"/>
  <c r="H1508" s="1"/>
  <c r="G1509"/>
  <c r="H1509" s="1"/>
  <c r="G1507"/>
  <c r="H1507" s="1"/>
  <c r="B1515"/>
  <c r="B1505"/>
  <c r="C1505"/>
  <c r="B1498"/>
  <c r="E1486"/>
  <c r="E1492" s="1"/>
  <c r="G1492" s="1"/>
  <c r="H1492" s="1"/>
  <c r="C1483"/>
  <c r="E1487"/>
  <c r="G1487" s="1"/>
  <c r="H1487" s="1"/>
  <c r="E1488"/>
  <c r="G1488" s="1"/>
  <c r="H1488" s="1"/>
  <c r="E1489"/>
  <c r="G1489" s="1"/>
  <c r="H1489" s="1"/>
  <c r="G1490"/>
  <c r="H1490" s="1"/>
  <c r="G1491"/>
  <c r="H1491" s="1"/>
  <c r="B1483"/>
  <c r="B1480"/>
  <c r="B1471"/>
  <c r="G1465"/>
  <c r="H1465" s="1"/>
  <c r="B1460"/>
  <c r="B1442"/>
  <c r="B1438"/>
  <c r="B1434"/>
  <c r="B1431"/>
  <c r="K179" i="8"/>
  <c r="R179" s="1"/>
  <c r="K178"/>
  <c r="R178" s="1"/>
  <c r="K177"/>
  <c r="R177" s="1"/>
  <c r="B1428" i="10"/>
  <c r="B1427"/>
  <c r="B1426"/>
  <c r="B1425"/>
  <c r="B1421"/>
  <c r="H1411"/>
  <c r="B1408"/>
  <c r="E1399"/>
  <c r="G1399" s="1"/>
  <c r="H1399" s="1"/>
  <c r="E1398"/>
  <c r="G1398" s="1"/>
  <c r="H1398" s="1"/>
  <c r="B1396"/>
  <c r="G1401"/>
  <c r="H1401" s="1"/>
  <c r="G1400"/>
  <c r="H1400" s="1"/>
  <c r="G1385"/>
  <c r="H1385" s="1"/>
  <c r="B1382"/>
  <c r="G1360"/>
  <c r="H1360" s="1"/>
  <c r="B1355"/>
  <c r="B1350"/>
  <c r="B1352"/>
  <c r="L164" i="8"/>
  <c r="G1342" i="10"/>
  <c r="H1342" s="1"/>
  <c r="E1344"/>
  <c r="G1344" s="1"/>
  <c r="H1344" s="1"/>
  <c r="G1341"/>
  <c r="B1337"/>
  <c r="B1326"/>
  <c r="F1320"/>
  <c r="G1320" s="1"/>
  <c r="H1320" s="1"/>
  <c r="B1317"/>
  <c r="C1308"/>
  <c r="B1308"/>
  <c r="G1310"/>
  <c r="G1302"/>
  <c r="B1300"/>
  <c r="G1293"/>
  <c r="B1291"/>
  <c r="B1283"/>
  <c r="G1285"/>
  <c r="H1285" s="1"/>
  <c r="G1269"/>
  <c r="H1269" s="1"/>
  <c r="G1267"/>
  <c r="B1264"/>
  <c r="B1252"/>
  <c r="G1257"/>
  <c r="H1257" s="1"/>
  <c r="G1255"/>
  <c r="G1245"/>
  <c r="H1245" s="1"/>
  <c r="G1243"/>
  <c r="B1240"/>
  <c r="G1234"/>
  <c r="H1234" s="1"/>
  <c r="G1232"/>
  <c r="B1229"/>
  <c r="B1220"/>
  <c r="B1207"/>
  <c r="G1213"/>
  <c r="H1213" s="1"/>
  <c r="G1211"/>
  <c r="H1211" s="1"/>
  <c r="G1194"/>
  <c r="H1194" s="1"/>
  <c r="E1188"/>
  <c r="G1188" s="1"/>
  <c r="H1188" s="1"/>
  <c r="E1197"/>
  <c r="E1200"/>
  <c r="G1200" s="1"/>
  <c r="H1200" s="1"/>
  <c r="E1199"/>
  <c r="G1181"/>
  <c r="H1181" s="1"/>
  <c r="G1182"/>
  <c r="H1182" s="1"/>
  <c r="G1183"/>
  <c r="H1183" s="1"/>
  <c r="G1184"/>
  <c r="H1184" s="1"/>
  <c r="G1185"/>
  <c r="H1185" s="1"/>
  <c r="G1186"/>
  <c r="H1186" s="1"/>
  <c r="G1187"/>
  <c r="H1187" s="1"/>
  <c r="G1189"/>
  <c r="H1189" s="1"/>
  <c r="G1190"/>
  <c r="H1190" s="1"/>
  <c r="G1191"/>
  <c r="H1191" s="1"/>
  <c r="E1198"/>
  <c r="G1154"/>
  <c r="H1154" s="1"/>
  <c r="E143" i="8"/>
  <c r="G1132" i="10"/>
  <c r="H1132" s="1"/>
  <c r="G1121"/>
  <c r="H1121" s="1"/>
  <c r="F1119"/>
  <c r="G1119" s="1"/>
  <c r="H1119" s="1"/>
  <c r="G1118"/>
  <c r="H1118" s="1"/>
  <c r="G1086"/>
  <c r="H1086" s="1"/>
  <c r="G1085"/>
  <c r="H1085" s="1"/>
  <c r="G1084"/>
  <c r="H1084" s="1"/>
  <c r="G1083"/>
  <c r="H1083" s="1"/>
  <c r="G1082"/>
  <c r="G1081"/>
  <c r="H1081" s="1"/>
  <c r="G1080"/>
  <c r="H1080" s="1"/>
  <c r="G1079"/>
  <c r="H1079" s="1"/>
  <c r="G1078"/>
  <c r="H1078" s="1"/>
  <c r="G1077"/>
  <c r="H1077" s="1"/>
  <c r="G1076"/>
  <c r="H1076" s="1"/>
  <c r="G1038"/>
  <c r="H1038" s="1"/>
  <c r="G1029"/>
  <c r="H1029" s="1"/>
  <c r="G1028"/>
  <c r="H1028" s="1"/>
  <c r="G1027"/>
  <c r="H1027" s="1"/>
  <c r="G1026"/>
  <c r="H1026" s="1"/>
  <c r="G1025"/>
  <c r="H1025" s="1"/>
  <c r="G1024"/>
  <c r="G1013"/>
  <c r="H1013" s="1"/>
  <c r="G1012"/>
  <c r="H1012" s="1"/>
  <c r="G1011"/>
  <c r="H1011" s="1"/>
  <c r="G1010"/>
  <c r="H1010" s="1"/>
  <c r="G1009"/>
  <c r="H1009" s="1"/>
  <c r="G1008"/>
  <c r="H1008" s="1"/>
  <c r="G1007"/>
  <c r="H1007" s="1"/>
  <c r="G992"/>
  <c r="H992" s="1"/>
  <c r="G993"/>
  <c r="H993" s="1"/>
  <c r="G994"/>
  <c r="H994" s="1"/>
  <c r="G995"/>
  <c r="H995" s="1"/>
  <c r="G996"/>
  <c r="H996" s="1"/>
  <c r="G997"/>
  <c r="H997" s="1"/>
  <c r="G998"/>
  <c r="H998" s="1"/>
  <c r="G999"/>
  <c r="H999" s="1"/>
  <c r="G1000"/>
  <c r="H1000" s="1"/>
  <c r="G1001"/>
  <c r="H1001" s="1"/>
  <c r="G1002"/>
  <c r="H1002" s="1"/>
  <c r="G1003"/>
  <c r="H1003" s="1"/>
  <c r="G1004"/>
  <c r="H1004" s="1"/>
  <c r="G991"/>
  <c r="H991" s="1"/>
  <c r="G980"/>
  <c r="H965"/>
  <c r="G966"/>
  <c r="H966" s="1"/>
  <c r="G967"/>
  <c r="H967" s="1"/>
  <c r="G968"/>
  <c r="H968" s="1"/>
  <c r="G964"/>
  <c r="H964" s="1"/>
  <c r="G951"/>
  <c r="H951" s="1"/>
  <c r="G952"/>
  <c r="H952" s="1"/>
  <c r="G953"/>
  <c r="H953" s="1"/>
  <c r="G955"/>
  <c r="H955" s="1"/>
  <c r="G950"/>
  <c r="H950" s="1"/>
  <c r="E838"/>
  <c r="F838"/>
  <c r="E820"/>
  <c r="G820" s="1"/>
  <c r="H820" s="1"/>
  <c r="E819"/>
  <c r="G819" s="1"/>
  <c r="H819" s="1"/>
  <c r="C801"/>
  <c r="B801"/>
  <c r="G808"/>
  <c r="H808" s="1"/>
  <c r="G807"/>
  <c r="H807" s="1"/>
  <c r="F805"/>
  <c r="G805" s="1"/>
  <c r="H805" s="1"/>
  <c r="G804"/>
  <c r="H804" s="1"/>
  <c r="B815"/>
  <c r="C815"/>
  <c r="G789"/>
  <c r="H789" s="1"/>
  <c r="G790"/>
  <c r="H790" s="1"/>
  <c r="G791"/>
  <c r="H791" s="1"/>
  <c r="G792"/>
  <c r="H792" s="1"/>
  <c r="G793"/>
  <c r="H793" s="1"/>
  <c r="G788"/>
  <c r="H788" s="1"/>
  <c r="G779"/>
  <c r="H779" s="1"/>
  <c r="G778"/>
  <c r="H778" s="1"/>
  <c r="G769"/>
  <c r="H769" s="1"/>
  <c r="G768"/>
  <c r="H768" s="1"/>
  <c r="F766"/>
  <c r="G766" s="1"/>
  <c r="H766" s="1"/>
  <c r="G765"/>
  <c r="H765" s="1"/>
  <c r="C740"/>
  <c r="B740"/>
  <c r="E754"/>
  <c r="G754" s="1"/>
  <c r="H754" s="1"/>
  <c r="G744"/>
  <c r="H744" s="1"/>
  <c r="F745"/>
  <c r="G745" s="1"/>
  <c r="H745" s="1"/>
  <c r="G747"/>
  <c r="H747" s="1"/>
  <c r="G748"/>
  <c r="H748" s="1"/>
  <c r="G749"/>
  <c r="H749" s="1"/>
  <c r="G750"/>
  <c r="H750" s="1"/>
  <c r="G751"/>
  <c r="H751" s="1"/>
  <c r="G752"/>
  <c r="H752" s="1"/>
  <c r="F753"/>
  <c r="C725"/>
  <c r="B725"/>
  <c r="G730"/>
  <c r="G716"/>
  <c r="G704"/>
  <c r="H704" s="1"/>
  <c r="G703"/>
  <c r="H703" s="1"/>
  <c r="G701"/>
  <c r="H701" s="1"/>
  <c r="G700"/>
  <c r="H700" s="1"/>
  <c r="G635"/>
  <c r="H635" s="1"/>
  <c r="G634"/>
  <c r="H634" s="1"/>
  <c r="G625"/>
  <c r="H625" s="1"/>
  <c r="F624"/>
  <c r="G623"/>
  <c r="H623" s="1"/>
  <c r="G622"/>
  <c r="H622" s="1"/>
  <c r="G620"/>
  <c r="H620" s="1"/>
  <c r="G621"/>
  <c r="H621" s="1"/>
  <c r="G618"/>
  <c r="H618" s="1"/>
  <c r="F616"/>
  <c r="G616" s="1"/>
  <c r="H616" s="1"/>
  <c r="G615"/>
  <c r="H615" s="1"/>
  <c r="G579"/>
  <c r="H579" s="1"/>
  <c r="G580"/>
  <c r="H580" s="1"/>
  <c r="G549"/>
  <c r="H549" s="1"/>
  <c r="G501"/>
  <c r="G498"/>
  <c r="H498" s="1"/>
  <c r="G496"/>
  <c r="H496" s="1"/>
  <c r="G495"/>
  <c r="H495" s="1"/>
  <c r="G494"/>
  <c r="H494" s="1"/>
  <c r="G491"/>
  <c r="H491" s="1"/>
  <c r="G490"/>
  <c r="H490" s="1"/>
  <c r="G487"/>
  <c r="H487" s="1"/>
  <c r="G486"/>
  <c r="H486" s="1"/>
  <c r="G483"/>
  <c r="H483" s="1"/>
  <c r="H482"/>
  <c r="G497"/>
  <c r="H497" s="1"/>
  <c r="G493"/>
  <c r="H493" s="1"/>
  <c r="G492"/>
  <c r="H492" s="1"/>
  <c r="G489"/>
  <c r="H489" s="1"/>
  <c r="G488"/>
  <c r="H488" s="1"/>
  <c r="G485"/>
  <c r="H485" s="1"/>
  <c r="G484"/>
  <c r="H484" s="1"/>
  <c r="H478"/>
  <c r="H479"/>
  <c r="Q179" i="8" l="1"/>
  <c r="O179"/>
  <c r="N179"/>
  <c r="P179"/>
  <c r="N177"/>
  <c r="P177"/>
  <c r="O177"/>
  <c r="Q177"/>
  <c r="Q239"/>
  <c r="O239"/>
  <c r="N239"/>
  <c r="P239"/>
  <c r="O178"/>
  <c r="Q178"/>
  <c r="P178"/>
  <c r="N178"/>
  <c r="Q224"/>
  <c r="O224"/>
  <c r="P224"/>
  <c r="N224"/>
  <c r="H1108" i="10"/>
  <c r="G1110"/>
  <c r="H1082"/>
  <c r="G1087"/>
  <c r="G1088" s="1"/>
  <c r="H1024"/>
  <c r="H980"/>
  <c r="G982"/>
  <c r="H982" s="1"/>
  <c r="G540"/>
  <c r="H540" s="1"/>
  <c r="H539"/>
  <c r="H730"/>
  <c r="G1256"/>
  <c r="H1256" s="1"/>
  <c r="H1255"/>
  <c r="G1268"/>
  <c r="H1268" s="1"/>
  <c r="H1267"/>
  <c r="H185"/>
  <c r="H505"/>
  <c r="H504"/>
  <c r="G1233"/>
  <c r="H1233" s="1"/>
  <c r="H1232"/>
  <c r="G1294"/>
  <c r="H1293"/>
  <c r="G502"/>
  <c r="H502" s="1"/>
  <c r="H501"/>
  <c r="G1244"/>
  <c r="H1244" s="1"/>
  <c r="H1243"/>
  <c r="G1311"/>
  <c r="H1310"/>
  <c r="K110" i="8"/>
  <c r="R110" s="1"/>
  <c r="H847" i="10"/>
  <c r="G1303"/>
  <c r="H1302"/>
  <c r="G1343"/>
  <c r="H1343" s="1"/>
  <c r="H1341"/>
  <c r="H1500"/>
  <c r="H716"/>
  <c r="G1775"/>
  <c r="G1765"/>
  <c r="H1765" s="1"/>
  <c r="G1751"/>
  <c r="G1726"/>
  <c r="H1726" s="1"/>
  <c r="G1604"/>
  <c r="G1593"/>
  <c r="G1584"/>
  <c r="G1510"/>
  <c r="G1402"/>
  <c r="H1402" s="1"/>
  <c r="G1321"/>
  <c r="G1286"/>
  <c r="G1031"/>
  <c r="H956"/>
  <c r="G826"/>
  <c r="G794"/>
  <c r="G780"/>
  <c r="G734"/>
  <c r="H734" s="1"/>
  <c r="G720"/>
  <c r="G721" s="1"/>
  <c r="G636"/>
  <c r="G499"/>
  <c r="H499" s="1"/>
  <c r="G1824"/>
  <c r="H1824" s="1"/>
  <c r="G1811"/>
  <c r="H1811" s="1"/>
  <c r="K210" i="8"/>
  <c r="R210" s="1"/>
  <c r="G806" i="10"/>
  <c r="H806" s="1"/>
  <c r="G581"/>
  <c r="H581" s="1"/>
  <c r="G550"/>
  <c r="G746"/>
  <c r="H746" s="1"/>
  <c r="G753"/>
  <c r="H753" s="1"/>
  <c r="G1834"/>
  <c r="H1834" s="1"/>
  <c r="G1630"/>
  <c r="G1862"/>
  <c r="H1862" s="1"/>
  <c r="G1848"/>
  <c r="H1848" s="1"/>
  <c r="G1712"/>
  <c r="H1712" s="1"/>
  <c r="G1702"/>
  <c r="G1566"/>
  <c r="H1566" s="1"/>
  <c r="E1555"/>
  <c r="G1555" s="1"/>
  <c r="G1532"/>
  <c r="H1532" s="1"/>
  <c r="G1463"/>
  <c r="G1486"/>
  <c r="H1486" s="1"/>
  <c r="G1358"/>
  <c r="G1212"/>
  <c r="G1192"/>
  <c r="H1192" s="1"/>
  <c r="G1120"/>
  <c r="H1120" s="1"/>
  <c r="G1005"/>
  <c r="H1005" s="1"/>
  <c r="G1014"/>
  <c r="H1014" s="1"/>
  <c r="G837"/>
  <c r="H837" s="1"/>
  <c r="G838"/>
  <c r="H838" s="1"/>
  <c r="G767"/>
  <c r="H767" s="1"/>
  <c r="G702"/>
  <c r="H702" s="1"/>
  <c r="G617"/>
  <c r="H617" s="1"/>
  <c r="G480"/>
  <c r="H480" s="1"/>
  <c r="O110" i="8" l="1"/>
  <c r="Q110"/>
  <c r="N110"/>
  <c r="P110"/>
  <c r="O210"/>
  <c r="P210"/>
  <c r="N210"/>
  <c r="Q210"/>
  <c r="H1212" i="10"/>
  <c r="H1630"/>
  <c r="G1270"/>
  <c r="H1270" s="1"/>
  <c r="G1258"/>
  <c r="G1259" s="1"/>
  <c r="G1235"/>
  <c r="G1236" s="1"/>
  <c r="G1345"/>
  <c r="G1346" s="1"/>
  <c r="K164" i="8" s="1"/>
  <c r="R164" s="1"/>
  <c r="G541" i="10"/>
  <c r="K71" i="8" s="1"/>
  <c r="R71" s="1"/>
  <c r="G1246" i="10"/>
  <c r="G1247" s="1"/>
  <c r="H1910"/>
  <c r="G827"/>
  <c r="H827" s="1"/>
  <c r="H826"/>
  <c r="K130" i="8"/>
  <c r="R130" s="1"/>
  <c r="H1030" i="10"/>
  <c r="G1287"/>
  <c r="H1286"/>
  <c r="G1605"/>
  <c r="K206" i="8" s="1"/>
  <c r="R206" s="1"/>
  <c r="H1604" i="10"/>
  <c r="G1776"/>
  <c r="K227" i="8" s="1"/>
  <c r="R227" s="1"/>
  <c r="H1775" i="10"/>
  <c r="G1304"/>
  <c r="H1303"/>
  <c r="G1464"/>
  <c r="H1464" s="1"/>
  <c r="H1463"/>
  <c r="H1702"/>
  <c r="G551"/>
  <c r="H550"/>
  <c r="G637"/>
  <c r="K81" i="8" s="1"/>
  <c r="R81" s="1"/>
  <c r="H636" i="10"/>
  <c r="H981"/>
  <c r="H1412"/>
  <c r="G1594"/>
  <c r="H1593"/>
  <c r="G1312"/>
  <c r="H1311"/>
  <c r="G781"/>
  <c r="H780"/>
  <c r="G970"/>
  <c r="H969"/>
  <c r="G1042"/>
  <c r="K131" i="8" s="1"/>
  <c r="R131" s="1"/>
  <c r="G1585" i="10"/>
  <c r="H1584"/>
  <c r="G1752"/>
  <c r="H1751"/>
  <c r="G1359"/>
  <c r="H1359" s="1"/>
  <c r="H1358"/>
  <c r="G1556"/>
  <c r="H1556" s="1"/>
  <c r="H1555"/>
  <c r="H1087"/>
  <c r="G1322"/>
  <c r="H1321"/>
  <c r="G1511"/>
  <c r="H1510"/>
  <c r="G1295"/>
  <c r="H1294"/>
  <c r="G735"/>
  <c r="G795"/>
  <c r="H794"/>
  <c r="H721"/>
  <c r="H720"/>
  <c r="G1851"/>
  <c r="H1851" s="1"/>
  <c r="G1863"/>
  <c r="G1837"/>
  <c r="G1825"/>
  <c r="K235" i="8" s="1"/>
  <c r="R235" s="1"/>
  <c r="G1766" i="10"/>
  <c r="H1766" s="1"/>
  <c r="G1727"/>
  <c r="G1713"/>
  <c r="G1635"/>
  <c r="G1636" s="1"/>
  <c r="G1573"/>
  <c r="G1539"/>
  <c r="G1493"/>
  <c r="G1403"/>
  <c r="G1214"/>
  <c r="G1215" s="1"/>
  <c r="G1122"/>
  <c r="G957"/>
  <c r="G839"/>
  <c r="G809"/>
  <c r="G770"/>
  <c r="G756"/>
  <c r="G705"/>
  <c r="G582"/>
  <c r="G870"/>
  <c r="G506"/>
  <c r="K221" i="8"/>
  <c r="R221" s="1"/>
  <c r="O221" l="1"/>
  <c r="N221"/>
  <c r="P221"/>
  <c r="Q221"/>
  <c r="O206"/>
  <c r="N206"/>
  <c r="P206"/>
  <c r="Q206"/>
  <c r="O235"/>
  <c r="Q235"/>
  <c r="P235"/>
  <c r="N235"/>
  <c r="P131"/>
  <c r="O131"/>
  <c r="N131"/>
  <c r="Q131"/>
  <c r="Q227"/>
  <c r="O227"/>
  <c r="N227"/>
  <c r="P227"/>
  <c r="Q164"/>
  <c r="O164"/>
  <c r="P164"/>
  <c r="N164"/>
  <c r="O130"/>
  <c r="Q130"/>
  <c r="P130"/>
  <c r="N130"/>
  <c r="H1258" i="10"/>
  <c r="G1271"/>
  <c r="H1271" s="1"/>
  <c r="G1852"/>
  <c r="K237" i="8" s="1"/>
  <c r="R237" s="1"/>
  <c r="H1345" i="10"/>
  <c r="H1235"/>
  <c r="G1361"/>
  <c r="G1362" s="1"/>
  <c r="H541"/>
  <c r="G1466"/>
  <c r="H1466" s="1"/>
  <c r="H1246"/>
  <c r="G828"/>
  <c r="H828" s="1"/>
  <c r="K242" i="8"/>
  <c r="R242" s="1"/>
  <c r="G706" i="10"/>
  <c r="H705"/>
  <c r="H870"/>
  <c r="G583"/>
  <c r="H582"/>
  <c r="G771"/>
  <c r="H770"/>
  <c r="G1016"/>
  <c r="H1015"/>
  <c r="G1404"/>
  <c r="K172" i="8" s="1"/>
  <c r="R172" s="1"/>
  <c r="H1403" i="10"/>
  <c r="G1574"/>
  <c r="H1573"/>
  <c r="G1864"/>
  <c r="H1863"/>
  <c r="G507"/>
  <c r="H506"/>
  <c r="G757"/>
  <c r="K100" i="8" s="1"/>
  <c r="R100" s="1"/>
  <c r="H756" i="10"/>
  <c r="G1540"/>
  <c r="H1539"/>
  <c r="H1727"/>
  <c r="G1838"/>
  <c r="H1837"/>
  <c r="H735"/>
  <c r="H1787"/>
  <c r="H1322"/>
  <c r="H1088"/>
  <c r="H1585"/>
  <c r="H1042"/>
  <c r="H781"/>
  <c r="K173" i="8"/>
  <c r="R173" s="1"/>
  <c r="H1413" i="10"/>
  <c r="H1247"/>
  <c r="H637"/>
  <c r="K158" i="8"/>
  <c r="R158" s="1"/>
  <c r="H1304" i="10"/>
  <c r="H1605"/>
  <c r="K156" i="8"/>
  <c r="R156" s="1"/>
  <c r="H1287" i="10"/>
  <c r="H1031"/>
  <c r="H1800"/>
  <c r="H957"/>
  <c r="G840"/>
  <c r="H839"/>
  <c r="H1214"/>
  <c r="G1494"/>
  <c r="H1493"/>
  <c r="G1714"/>
  <c r="H1713"/>
  <c r="H1825"/>
  <c r="H795"/>
  <c r="G810"/>
  <c r="K107" i="8" s="1"/>
  <c r="R107" s="1"/>
  <c r="H809" i="10"/>
  <c r="G1123"/>
  <c r="H1122"/>
  <c r="K211" i="8"/>
  <c r="R211" s="1"/>
  <c r="R213" s="1"/>
  <c r="M30" i="11" s="1"/>
  <c r="H1635" i="10"/>
  <c r="G1815"/>
  <c r="K234" i="8" s="1"/>
  <c r="R234" s="1"/>
  <c r="R233" s="1"/>
  <c r="H1814" i="10"/>
  <c r="K157" i="8"/>
  <c r="R157" s="1"/>
  <c r="H1295" i="10"/>
  <c r="H1511"/>
  <c r="H1259"/>
  <c r="H1752"/>
  <c r="K155" i="8"/>
  <c r="R155" s="1"/>
  <c r="H970" i="10"/>
  <c r="K159" i="8"/>
  <c r="R159" s="1"/>
  <c r="H1312" i="10"/>
  <c r="K199" i="8"/>
  <c r="R199" s="1"/>
  <c r="H1594" i="10"/>
  <c r="H551"/>
  <c r="H1776"/>
  <c r="H1346"/>
  <c r="H1236"/>
  <c r="H676"/>
  <c r="H675"/>
  <c r="G1767"/>
  <c r="G1557"/>
  <c r="H1557" s="1"/>
  <c r="K113" i="8"/>
  <c r="R113" s="1"/>
  <c r="K225"/>
  <c r="R225" s="1"/>
  <c r="K223"/>
  <c r="R223" s="1"/>
  <c r="K162"/>
  <c r="R162" s="1"/>
  <c r="G1049" i="10"/>
  <c r="K97" i="8"/>
  <c r="R97" s="1"/>
  <c r="G380" i="10"/>
  <c r="G381"/>
  <c r="H381" s="1"/>
  <c r="G195"/>
  <c r="H195" s="1"/>
  <c r="H193"/>
  <c r="G194"/>
  <c r="H194" s="1"/>
  <c r="G196"/>
  <c r="H196" s="1"/>
  <c r="H86"/>
  <c r="Q225" i="8" l="1"/>
  <c r="O225"/>
  <c r="N225"/>
  <c r="P225"/>
  <c r="N211"/>
  <c r="N213" s="1"/>
  <c r="P211"/>
  <c r="P213" s="1"/>
  <c r="O211"/>
  <c r="O213" s="1"/>
  <c r="Q211"/>
  <c r="Q213" s="1"/>
  <c r="P159"/>
  <c r="N159"/>
  <c r="Q159"/>
  <c r="O159"/>
  <c r="N158"/>
  <c r="O158"/>
  <c r="P158"/>
  <c r="Q158"/>
  <c r="P173"/>
  <c r="N173"/>
  <c r="Q173"/>
  <c r="O173"/>
  <c r="P242"/>
  <c r="O242"/>
  <c r="N242"/>
  <c r="Q242"/>
  <c r="N237"/>
  <c r="P237"/>
  <c r="O237"/>
  <c r="Q237"/>
  <c r="N157"/>
  <c r="Q157"/>
  <c r="P157"/>
  <c r="O157"/>
  <c r="O162"/>
  <c r="P162"/>
  <c r="N162"/>
  <c r="Q162"/>
  <c r="N234"/>
  <c r="P234"/>
  <c r="Q234"/>
  <c r="O234"/>
  <c r="O156"/>
  <c r="P156"/>
  <c r="N156"/>
  <c r="Q156"/>
  <c r="O97"/>
  <c r="N97"/>
  <c r="P97"/>
  <c r="Q97"/>
  <c r="N107"/>
  <c r="P107"/>
  <c r="O107"/>
  <c r="Q107"/>
  <c r="N223"/>
  <c r="P223"/>
  <c r="Q223"/>
  <c r="O223"/>
  <c r="P199"/>
  <c r="N199"/>
  <c r="Q199"/>
  <c r="O199"/>
  <c r="P155"/>
  <c r="N155"/>
  <c r="Q155"/>
  <c r="O155"/>
  <c r="N172"/>
  <c r="O172"/>
  <c r="P172"/>
  <c r="Q172"/>
  <c r="H1852" i="10"/>
  <c r="M211" i="8"/>
  <c r="M223"/>
  <c r="S223" s="1"/>
  <c r="G1467" i="10"/>
  <c r="H1467" s="1"/>
  <c r="H1361"/>
  <c r="H314"/>
  <c r="H380"/>
  <c r="H1815"/>
  <c r="H810"/>
  <c r="G1575"/>
  <c r="H1574"/>
  <c r="H1016"/>
  <c r="K76" i="8"/>
  <c r="R76" s="1"/>
  <c r="H583" i="10"/>
  <c r="H706"/>
  <c r="H218"/>
  <c r="H1767"/>
  <c r="H1494"/>
  <c r="K109" i="8"/>
  <c r="R109" s="1"/>
  <c r="H840" i="10"/>
  <c r="H1362"/>
  <c r="H364"/>
  <c r="H1636"/>
  <c r="H1123"/>
  <c r="K238" i="8"/>
  <c r="R238" s="1"/>
  <c r="H1864" i="10"/>
  <c r="H1404"/>
  <c r="H771"/>
  <c r="H327"/>
  <c r="H1049"/>
  <c r="H1055" s="1"/>
  <c r="K222" i="8"/>
  <c r="R222" s="1"/>
  <c r="H1714" i="10"/>
  <c r="H1215"/>
  <c r="H1838"/>
  <c r="G1541"/>
  <c r="H1540"/>
  <c r="H757"/>
  <c r="K67" i="8"/>
  <c r="R67" s="1"/>
  <c r="H507" i="10"/>
  <c r="G1558"/>
  <c r="G382"/>
  <c r="H382" s="1"/>
  <c r="G197"/>
  <c r="K149" i="8"/>
  <c r="R149" s="1"/>
  <c r="S211" l="1"/>
  <c r="N67"/>
  <c r="O67"/>
  <c r="P67"/>
  <c r="Q67"/>
  <c r="N222"/>
  <c r="P222"/>
  <c r="Q222"/>
  <c r="O222"/>
  <c r="Q109"/>
  <c r="N109"/>
  <c r="P109"/>
  <c r="O109"/>
  <c r="O149"/>
  <c r="P149"/>
  <c r="N149"/>
  <c r="Q149"/>
  <c r="N238"/>
  <c r="P238"/>
  <c r="Q238"/>
  <c r="O238"/>
  <c r="H249" i="10"/>
  <c r="G198"/>
  <c r="H198" s="1"/>
  <c r="H197"/>
  <c r="G1576"/>
  <c r="H1575"/>
  <c r="G1559"/>
  <c r="H1558"/>
  <c r="G1542"/>
  <c r="H1541"/>
  <c r="G383"/>
  <c r="K57" i="8" s="1"/>
  <c r="R57" s="1"/>
  <c r="R62" s="1"/>
  <c r="M10" i="11" s="1"/>
  <c r="K141" i="8"/>
  <c r="R141" s="1"/>
  <c r="O57" l="1"/>
  <c r="P57"/>
  <c r="Q57"/>
  <c r="N57"/>
  <c r="O141"/>
  <c r="Q141"/>
  <c r="P141"/>
  <c r="N141"/>
  <c r="G199" i="10"/>
  <c r="H199" s="1"/>
  <c r="H383"/>
  <c r="H1576"/>
  <c r="K197" i="8"/>
  <c r="R197" s="1"/>
  <c r="H1559" i="10"/>
  <c r="H1542"/>
  <c r="K196" i="8"/>
  <c r="K195"/>
  <c r="R195" s="1"/>
  <c r="Q195" l="1"/>
  <c r="P195"/>
  <c r="O195"/>
  <c r="N195"/>
  <c r="Q197"/>
  <c r="O197"/>
  <c r="N197"/>
  <c r="P197"/>
  <c r="H471" i="10"/>
  <c r="N81" i="8" l="1"/>
  <c r="N71"/>
  <c r="N34"/>
  <c r="N48"/>
  <c r="N46"/>
  <c r="K66"/>
  <c r="R66" s="1"/>
  <c r="R64" s="1"/>
  <c r="C918" i="10"/>
  <c r="N66" i="8" l="1"/>
  <c r="Q66"/>
  <c r="O66"/>
  <c r="P66"/>
  <c r="N62"/>
  <c r="O81"/>
  <c r="O71"/>
  <c r="P74"/>
  <c r="P71"/>
  <c r="P81"/>
  <c r="P113"/>
  <c r="P100"/>
  <c r="P76"/>
  <c r="P34"/>
  <c r="P48"/>
  <c r="P46"/>
  <c r="P47"/>
  <c r="P39"/>
  <c r="O34"/>
  <c r="O48"/>
  <c r="O46"/>
  <c r="O47"/>
  <c r="C1771" i="10"/>
  <c r="C1115"/>
  <c r="C845"/>
  <c r="B845"/>
  <c r="B33" i="11"/>
  <c r="B32"/>
  <c r="B31"/>
  <c r="B30"/>
  <c r="B29"/>
  <c r="B27"/>
  <c r="B26"/>
  <c r="B25"/>
  <c r="B24"/>
  <c r="B23"/>
  <c r="B22"/>
  <c r="B21"/>
  <c r="B20"/>
  <c r="B19"/>
  <c r="B17"/>
  <c r="B16"/>
  <c r="B15"/>
  <c r="B14"/>
  <c r="B13"/>
  <c r="B11"/>
  <c r="B10"/>
  <c r="B9"/>
  <c r="B8"/>
  <c r="B7"/>
  <c r="S48" i="8" l="1"/>
  <c r="S47"/>
  <c r="O62"/>
  <c r="P62"/>
  <c r="P64"/>
  <c r="Q71"/>
  <c r="Q81"/>
  <c r="Q34"/>
  <c r="S34" s="1"/>
  <c r="Q46"/>
  <c r="S46" s="1"/>
  <c r="Q48"/>
  <c r="Q47"/>
  <c r="C1901" i="10"/>
  <c r="K241" i="8"/>
  <c r="R241" s="1"/>
  <c r="C1892" i="10"/>
  <c r="K240" i="8"/>
  <c r="R240" s="1"/>
  <c r="C1881" i="10"/>
  <c r="C1869"/>
  <c r="C1857"/>
  <c r="C1843"/>
  <c r="K236" i="8"/>
  <c r="R236" s="1"/>
  <c r="C1806" i="10"/>
  <c r="C1804"/>
  <c r="C1797"/>
  <c r="K229" i="8"/>
  <c r="R229" s="1"/>
  <c r="K228"/>
  <c r="R228" s="1"/>
  <c r="C1780" i="10"/>
  <c r="C1756"/>
  <c r="C1743"/>
  <c r="C1732"/>
  <c r="C1718"/>
  <c r="C1700"/>
  <c r="C1685"/>
  <c r="R243" i="8" l="1"/>
  <c r="O229"/>
  <c r="N229"/>
  <c r="P229"/>
  <c r="Q229"/>
  <c r="Q240"/>
  <c r="N240"/>
  <c r="O240"/>
  <c r="P240"/>
  <c r="Q62"/>
  <c r="Q236"/>
  <c r="N236"/>
  <c r="P236"/>
  <c r="O236"/>
  <c r="O228"/>
  <c r="P228"/>
  <c r="N228"/>
  <c r="Q228"/>
  <c r="O241"/>
  <c r="Q241"/>
  <c r="N241"/>
  <c r="P241"/>
  <c r="C1668" i="10"/>
  <c r="C1655"/>
  <c r="C1624"/>
  <c r="C1609"/>
  <c r="C1598"/>
  <c r="C1580"/>
  <c r="C1563"/>
  <c r="C1546"/>
  <c r="C1529"/>
  <c r="C1517"/>
  <c r="C1515"/>
  <c r="K191" i="8"/>
  <c r="R191" s="1"/>
  <c r="C1498" i="10"/>
  <c r="C1480"/>
  <c r="C1471"/>
  <c r="C1460"/>
  <c r="K183" i="8"/>
  <c r="R183" s="1"/>
  <c r="C1442" i="10"/>
  <c r="K182" i="8"/>
  <c r="R182" s="1"/>
  <c r="C1438" i="10"/>
  <c r="K181" i="8"/>
  <c r="R181" s="1"/>
  <c r="R180" s="1"/>
  <c r="C1434" i="10"/>
  <c r="C1431"/>
  <c r="K176" i="8"/>
  <c r="R176" s="1"/>
  <c r="K175"/>
  <c r="R175" s="1"/>
  <c r="C1428" i="10"/>
  <c r="C1427"/>
  <c r="C1425"/>
  <c r="C1421"/>
  <c r="C1419"/>
  <c r="C1408"/>
  <c r="C1396"/>
  <c r="C1382"/>
  <c r="C1355"/>
  <c r="C1350"/>
  <c r="C1337"/>
  <c r="C1326"/>
  <c r="C1317"/>
  <c r="C1300"/>
  <c r="C1291"/>
  <c r="C1283"/>
  <c r="C1264"/>
  <c r="C1252"/>
  <c r="C1240"/>
  <c r="C1229"/>
  <c r="K150" i="8"/>
  <c r="R150" s="1"/>
  <c r="C1220" i="10"/>
  <c r="C1207"/>
  <c r="C1177"/>
  <c r="B1177"/>
  <c r="B1165"/>
  <c r="C1165"/>
  <c r="C1151"/>
  <c r="B1151"/>
  <c r="C1138"/>
  <c r="B1138"/>
  <c r="C1127"/>
  <c r="B1127"/>
  <c r="B1115"/>
  <c r="C1113"/>
  <c r="B1113"/>
  <c r="M33" i="11" l="1"/>
  <c r="R174" i="8"/>
  <c r="N176"/>
  <c r="P176"/>
  <c r="O176"/>
  <c r="Q176"/>
  <c r="O191"/>
  <c r="N191"/>
  <c r="P191"/>
  <c r="Q191"/>
  <c r="O175"/>
  <c r="Q175"/>
  <c r="N175"/>
  <c r="P175"/>
  <c r="O182"/>
  <c r="N182"/>
  <c r="P182"/>
  <c r="Q182"/>
  <c r="P181"/>
  <c r="N181"/>
  <c r="Q181"/>
  <c r="O181"/>
  <c r="Q183"/>
  <c r="O183"/>
  <c r="N183"/>
  <c r="P183"/>
  <c r="N150"/>
  <c r="Q150"/>
  <c r="P150"/>
  <c r="O150"/>
  <c r="M175"/>
  <c r="M176"/>
  <c r="S176" s="1"/>
  <c r="C1093" i="10"/>
  <c r="B1093"/>
  <c r="B1073"/>
  <c r="B1061"/>
  <c r="C1053"/>
  <c r="B1053"/>
  <c r="K132" i="8"/>
  <c r="R132" s="1"/>
  <c r="B1047" i="10"/>
  <c r="B1036"/>
  <c r="C1021"/>
  <c r="B1021"/>
  <c r="B987"/>
  <c r="B985"/>
  <c r="C975"/>
  <c r="B975"/>
  <c r="B962"/>
  <c r="C948"/>
  <c r="B948"/>
  <c r="B918"/>
  <c r="C877"/>
  <c r="B877"/>
  <c r="C857"/>
  <c r="B857"/>
  <c r="C855"/>
  <c r="B855"/>
  <c r="C833"/>
  <c r="B833"/>
  <c r="C799"/>
  <c r="B799"/>
  <c r="C786"/>
  <c r="B786"/>
  <c r="C776"/>
  <c r="B776"/>
  <c r="B762"/>
  <c r="C762"/>
  <c r="C711"/>
  <c r="B711"/>
  <c r="C696"/>
  <c r="B696"/>
  <c r="K90" i="8"/>
  <c r="R90" s="1"/>
  <c r="R92" s="1"/>
  <c r="M14" i="11" s="1"/>
  <c r="K82" i="8"/>
  <c r="R82" s="1"/>
  <c r="C641" i="10"/>
  <c r="B641"/>
  <c r="B631"/>
  <c r="C611"/>
  <c r="B611"/>
  <c r="B609"/>
  <c r="K78" i="8"/>
  <c r="B602" i="10"/>
  <c r="B587"/>
  <c r="S175" i="8" l="1"/>
  <c r="P78"/>
  <c r="R78"/>
  <c r="P174"/>
  <c r="N174"/>
  <c r="O174"/>
  <c r="Q174"/>
  <c r="P132"/>
  <c r="O132"/>
  <c r="N132"/>
  <c r="Q132"/>
  <c r="N82"/>
  <c r="P82"/>
  <c r="O82"/>
  <c r="Q82"/>
  <c r="M82"/>
  <c r="P90"/>
  <c r="P92" s="1"/>
  <c r="K218"/>
  <c r="R218" s="1"/>
  <c r="E8" i="6"/>
  <c r="E19" s="1"/>
  <c r="F8"/>
  <c r="F19" s="1"/>
  <c r="F24" i="8" s="1"/>
  <c r="G8" i="6"/>
  <c r="G19" s="1"/>
  <c r="G24" i="8" s="1"/>
  <c r="H8" i="6"/>
  <c r="H19" s="1"/>
  <c r="H24" i="8" s="1"/>
  <c r="S82" l="1"/>
  <c r="Q218"/>
  <c r="O218"/>
  <c r="N218"/>
  <c r="P218"/>
  <c r="C573" i="10"/>
  <c r="B573"/>
  <c r="C569"/>
  <c r="K75" i="8"/>
  <c r="B569" i="10"/>
  <c r="C557"/>
  <c r="B557"/>
  <c r="B546"/>
  <c r="B533"/>
  <c r="B519"/>
  <c r="B248"/>
  <c r="C235"/>
  <c r="B235"/>
  <c r="C223"/>
  <c r="B223"/>
  <c r="C475"/>
  <c r="B475"/>
  <c r="C469"/>
  <c r="B469"/>
  <c r="C456"/>
  <c r="B456"/>
  <c r="B387"/>
  <c r="B368"/>
  <c r="K54" i="8"/>
  <c r="K53"/>
  <c r="B350" i="10"/>
  <c r="K51" i="8"/>
  <c r="C332" i="10"/>
  <c r="B332"/>
  <c r="K50" i="8"/>
  <c r="R50" s="1"/>
  <c r="C319" i="10"/>
  <c r="B319"/>
  <c r="K49" i="8"/>
  <c r="K41"/>
  <c r="B203" i="10"/>
  <c r="B190"/>
  <c r="B178"/>
  <c r="B165"/>
  <c r="K32" i="8"/>
  <c r="R32" s="1"/>
  <c r="K31"/>
  <c r="R31" s="1"/>
  <c r="K29"/>
  <c r="R29" s="1"/>
  <c r="K28"/>
  <c r="R28" s="1"/>
  <c r="C131" i="10"/>
  <c r="C124"/>
  <c r="K27" i="8"/>
  <c r="R27" s="1"/>
  <c r="C117" i="10"/>
  <c r="K26" i="8"/>
  <c r="R26" s="1"/>
  <c r="K25"/>
  <c r="R25" s="1"/>
  <c r="C110" i="10"/>
  <c r="C103"/>
  <c r="K24" i="8"/>
  <c r="C97" i="10"/>
  <c r="K22" i="8"/>
  <c r="R22" s="1"/>
  <c r="K21"/>
  <c r="R21" s="1"/>
  <c r="C90" i="10"/>
  <c r="C84"/>
  <c r="K20" i="8"/>
  <c r="R20" s="1"/>
  <c r="C79" i="10"/>
  <c r="K19" i="8"/>
  <c r="R19" s="1"/>
  <c r="K18"/>
  <c r="R18" s="1"/>
  <c r="C60" i="10"/>
  <c r="C53"/>
  <c r="K17" i="8"/>
  <c r="R17" s="1"/>
  <c r="K16"/>
  <c r="R16" s="1"/>
  <c r="C47" i="10"/>
  <c r="C41"/>
  <c r="C35"/>
  <c r="C29"/>
  <c r="C10"/>
  <c r="K15" i="8"/>
  <c r="R15" s="1"/>
  <c r="R12" s="1"/>
  <c r="K230"/>
  <c r="R230" s="1"/>
  <c r="K216"/>
  <c r="R216" s="1"/>
  <c r="R219" s="1"/>
  <c r="G1523" i="10"/>
  <c r="H1523" s="1"/>
  <c r="G1522"/>
  <c r="H1522" s="1"/>
  <c r="G1521"/>
  <c r="H1521" s="1"/>
  <c r="G1520"/>
  <c r="H1520" s="1"/>
  <c r="K185" i="8"/>
  <c r="R185" s="1"/>
  <c r="R184" s="1"/>
  <c r="G1388" i="10"/>
  <c r="H1388" s="1"/>
  <c r="G1387"/>
  <c r="H1387" s="1"/>
  <c r="G1386"/>
  <c r="H1386" s="1"/>
  <c r="G1199"/>
  <c r="H1199" s="1"/>
  <c r="G1198"/>
  <c r="H1198" s="1"/>
  <c r="G1197"/>
  <c r="H1197" s="1"/>
  <c r="G1196"/>
  <c r="H1196" s="1"/>
  <c r="G1195"/>
  <c r="H1195" s="1"/>
  <c r="K145" i="8"/>
  <c r="R145" s="1"/>
  <c r="G1159" i="10"/>
  <c r="H1159" s="1"/>
  <c r="G1158"/>
  <c r="H1158" s="1"/>
  <c r="G1157"/>
  <c r="H1157" s="1"/>
  <c r="G1156"/>
  <c r="H1156" s="1"/>
  <c r="G1155"/>
  <c r="H1155" s="1"/>
  <c r="G1145"/>
  <c r="H1145" s="1"/>
  <c r="G1144"/>
  <c r="H1144" s="1"/>
  <c r="G1143"/>
  <c r="H1143" s="1"/>
  <c r="G1142"/>
  <c r="H1142" s="1"/>
  <c r="G1141"/>
  <c r="H1141" s="1"/>
  <c r="G1131"/>
  <c r="H1131" s="1"/>
  <c r="G1130"/>
  <c r="H1130" s="1"/>
  <c r="G1129"/>
  <c r="H1129" s="1"/>
  <c r="K137" i="8"/>
  <c r="R137" s="1"/>
  <c r="G1067" i="10"/>
  <c r="H1067" s="1"/>
  <c r="G1066"/>
  <c r="H1066" s="1"/>
  <c r="G1064"/>
  <c r="H1064" s="1"/>
  <c r="G1063"/>
  <c r="G1062"/>
  <c r="H1062" s="1"/>
  <c r="K135" i="8"/>
  <c r="R135" s="1"/>
  <c r="G940" i="10"/>
  <c r="H940" s="1"/>
  <c r="G939"/>
  <c r="H939" s="1"/>
  <c r="G938"/>
  <c r="H938" s="1"/>
  <c r="G937"/>
  <c r="H937" s="1"/>
  <c r="G936"/>
  <c r="H936" s="1"/>
  <c r="G935"/>
  <c r="H935" s="1"/>
  <c r="G932"/>
  <c r="H932" s="1"/>
  <c r="G931"/>
  <c r="H931" s="1"/>
  <c r="G930"/>
  <c r="H930" s="1"/>
  <c r="G929"/>
  <c r="H929" s="1"/>
  <c r="G928"/>
  <c r="H928" s="1"/>
  <c r="G927"/>
  <c r="H927" s="1"/>
  <c r="G926"/>
  <c r="H926" s="1"/>
  <c r="G925"/>
  <c r="H925" s="1"/>
  <c r="G924"/>
  <c r="H924" s="1"/>
  <c r="G923"/>
  <c r="H923" s="1"/>
  <c r="G922"/>
  <c r="H922" s="1"/>
  <c r="G921"/>
  <c r="H921" s="1"/>
  <c r="G911"/>
  <c r="H911" s="1"/>
  <c r="G910"/>
  <c r="H910" s="1"/>
  <c r="G909"/>
  <c r="H909" s="1"/>
  <c r="G908"/>
  <c r="H908" s="1"/>
  <c r="G907"/>
  <c r="H907" s="1"/>
  <c r="G906"/>
  <c r="H906" s="1"/>
  <c r="G905"/>
  <c r="H905" s="1"/>
  <c r="G904"/>
  <c r="H904" s="1"/>
  <c r="G903"/>
  <c r="H903" s="1"/>
  <c r="G902"/>
  <c r="H902" s="1"/>
  <c r="G901"/>
  <c r="H901" s="1"/>
  <c r="E900"/>
  <c r="G900" s="1"/>
  <c r="H900" s="1"/>
  <c r="G899"/>
  <c r="H899" s="1"/>
  <c r="G898"/>
  <c r="H898" s="1"/>
  <c r="G897"/>
  <c r="H897" s="1"/>
  <c r="G896"/>
  <c r="H896" s="1"/>
  <c r="G895"/>
  <c r="H895" s="1"/>
  <c r="G894"/>
  <c r="H894" s="1"/>
  <c r="G893"/>
  <c r="H893" s="1"/>
  <c r="G892"/>
  <c r="H892" s="1"/>
  <c r="G891"/>
  <c r="H891" s="1"/>
  <c r="G890"/>
  <c r="H890" s="1"/>
  <c r="G887"/>
  <c r="H887" s="1"/>
  <c r="G886"/>
  <c r="H886" s="1"/>
  <c r="G885"/>
  <c r="H885" s="1"/>
  <c r="G884"/>
  <c r="H884" s="1"/>
  <c r="G883"/>
  <c r="H883" s="1"/>
  <c r="G882"/>
  <c r="H882" s="1"/>
  <c r="G881"/>
  <c r="H881" s="1"/>
  <c r="G880"/>
  <c r="H880" s="1"/>
  <c r="K102" i="8"/>
  <c r="R102" s="1"/>
  <c r="K96"/>
  <c r="R96" s="1"/>
  <c r="K95"/>
  <c r="R95" s="1"/>
  <c r="R98" s="1"/>
  <c r="M15" i="11" s="1"/>
  <c r="G619" i="10"/>
  <c r="H619" s="1"/>
  <c r="K72" i="8"/>
  <c r="G527" i="10"/>
  <c r="H527" s="1"/>
  <c r="G526"/>
  <c r="H526" s="1"/>
  <c r="G525"/>
  <c r="H525" s="1"/>
  <c r="G524"/>
  <c r="H524" s="1"/>
  <c r="G523"/>
  <c r="H523" s="1"/>
  <c r="G522"/>
  <c r="H522" s="1"/>
  <c r="K45" i="8"/>
  <c r="R45" s="1"/>
  <c r="K44"/>
  <c r="R44" s="1"/>
  <c r="K40"/>
  <c r="K38"/>
  <c r="E242"/>
  <c r="M242" s="1"/>
  <c r="S242" s="1"/>
  <c r="E241"/>
  <c r="M241" s="1"/>
  <c r="S241" s="1"/>
  <c r="E240"/>
  <c r="M240" s="1"/>
  <c r="S240" s="1"/>
  <c r="E239"/>
  <c r="M239" s="1"/>
  <c r="S239" s="1"/>
  <c r="E238"/>
  <c r="M238" s="1"/>
  <c r="S238" s="1"/>
  <c r="E237"/>
  <c r="M237" s="1"/>
  <c r="S237" s="1"/>
  <c r="E235"/>
  <c r="M235" s="1"/>
  <c r="S235" s="1"/>
  <c r="E236"/>
  <c r="M236" s="1"/>
  <c r="S236" s="1"/>
  <c r="E234"/>
  <c r="M234" s="1"/>
  <c r="S234" s="1"/>
  <c r="E230"/>
  <c r="E229"/>
  <c r="M229" s="1"/>
  <c r="S229" s="1"/>
  <c r="E228"/>
  <c r="M228" s="1"/>
  <c r="S228" s="1"/>
  <c r="E227"/>
  <c r="M227" s="1"/>
  <c r="S227" s="1"/>
  <c r="E226"/>
  <c r="E225"/>
  <c r="M225" s="1"/>
  <c r="S225" s="1"/>
  <c r="E224"/>
  <c r="M224" s="1"/>
  <c r="S224" s="1"/>
  <c r="E222"/>
  <c r="M222" s="1"/>
  <c r="S222" s="1"/>
  <c r="E221"/>
  <c r="M221" s="1"/>
  <c r="S221" s="1"/>
  <c r="E218"/>
  <c r="M218" s="1"/>
  <c r="E216"/>
  <c r="E215"/>
  <c r="M215" s="1"/>
  <c r="S215" s="1"/>
  <c r="E210"/>
  <c r="M210" s="1"/>
  <c r="S210" s="1"/>
  <c r="E206"/>
  <c r="M206" s="1"/>
  <c r="S206" s="1"/>
  <c r="E199"/>
  <c r="M199" s="1"/>
  <c r="S199" s="1"/>
  <c r="E198"/>
  <c r="E197"/>
  <c r="M197" s="1"/>
  <c r="S197" s="1"/>
  <c r="E195"/>
  <c r="M195" s="1"/>
  <c r="S195" s="1"/>
  <c r="E194"/>
  <c r="E192"/>
  <c r="E191"/>
  <c r="M191" s="1"/>
  <c r="S191" s="1"/>
  <c r="E190"/>
  <c r="E186"/>
  <c r="M186" s="1"/>
  <c r="S186" s="1"/>
  <c r="E185"/>
  <c r="E183"/>
  <c r="M183" s="1"/>
  <c r="S183" s="1"/>
  <c r="E182"/>
  <c r="M182" s="1"/>
  <c r="S182" s="1"/>
  <c r="E181"/>
  <c r="M181" s="1"/>
  <c r="S181" s="1"/>
  <c r="E179"/>
  <c r="M179" s="1"/>
  <c r="S179" s="1"/>
  <c r="E178"/>
  <c r="M178" s="1"/>
  <c r="S178" s="1"/>
  <c r="E177"/>
  <c r="M177" s="1"/>
  <c r="S177" s="1"/>
  <c r="E173"/>
  <c r="M173" s="1"/>
  <c r="S173" s="1"/>
  <c r="E172"/>
  <c r="M172" s="1"/>
  <c r="S172" s="1"/>
  <c r="E171"/>
  <c r="E170"/>
  <c r="M170" s="1"/>
  <c r="S170" s="1"/>
  <c r="E169"/>
  <c r="E164"/>
  <c r="M164" s="1"/>
  <c r="S164" s="1"/>
  <c r="E163"/>
  <c r="E162"/>
  <c r="M162" s="1"/>
  <c r="S162" s="1"/>
  <c r="E159"/>
  <c r="M159" s="1"/>
  <c r="S159" s="1"/>
  <c r="E158"/>
  <c r="M158" s="1"/>
  <c r="S158" s="1"/>
  <c r="E157"/>
  <c r="M157" s="1"/>
  <c r="S157" s="1"/>
  <c r="E156"/>
  <c r="M156" s="1"/>
  <c r="S156" s="1"/>
  <c r="E155"/>
  <c r="M155" s="1"/>
  <c r="S155" s="1"/>
  <c r="E154"/>
  <c r="E153"/>
  <c r="E152"/>
  <c r="E151"/>
  <c r="E150"/>
  <c r="M150" s="1"/>
  <c r="S150" s="1"/>
  <c r="E149"/>
  <c r="M149" s="1"/>
  <c r="S149" s="1"/>
  <c r="E146"/>
  <c r="E145"/>
  <c r="E144"/>
  <c r="E142"/>
  <c r="E141"/>
  <c r="M141" s="1"/>
  <c r="S141" s="1"/>
  <c r="E138"/>
  <c r="E137"/>
  <c r="E136"/>
  <c r="E135"/>
  <c r="E132"/>
  <c r="M132" s="1"/>
  <c r="S132" s="1"/>
  <c r="E131"/>
  <c r="M131" s="1"/>
  <c r="S131" s="1"/>
  <c r="E130"/>
  <c r="M130" s="1"/>
  <c r="S130" s="1"/>
  <c r="E129"/>
  <c r="E123"/>
  <c r="E113"/>
  <c r="M113" s="1"/>
  <c r="N113"/>
  <c r="O113"/>
  <c r="Q113"/>
  <c r="E110"/>
  <c r="M110" s="1"/>
  <c r="S110" s="1"/>
  <c r="E109"/>
  <c r="M109" s="1"/>
  <c r="S109" s="1"/>
  <c r="E108"/>
  <c r="E107"/>
  <c r="M107" s="1"/>
  <c r="S107" s="1"/>
  <c r="E103"/>
  <c r="E102"/>
  <c r="E101"/>
  <c r="E100"/>
  <c r="M100" s="1"/>
  <c r="S100" s="1"/>
  <c r="N100"/>
  <c r="O100"/>
  <c r="Q100"/>
  <c r="E97"/>
  <c r="M97" s="1"/>
  <c r="S97" s="1"/>
  <c r="E96"/>
  <c r="E95"/>
  <c r="E94"/>
  <c r="E90"/>
  <c r="M90" s="1"/>
  <c r="N90"/>
  <c r="N92" s="1"/>
  <c r="O90"/>
  <c r="O92" s="1"/>
  <c r="Q90"/>
  <c r="Q92" s="1"/>
  <c r="E81"/>
  <c r="M81" s="1"/>
  <c r="S81" s="1"/>
  <c r="E78"/>
  <c r="M78" s="1"/>
  <c r="N78"/>
  <c r="O78"/>
  <c r="Q78"/>
  <c r="E77"/>
  <c r="E76"/>
  <c r="M76" s="1"/>
  <c r="N76"/>
  <c r="O76"/>
  <c r="Q76"/>
  <c r="E75"/>
  <c r="E74"/>
  <c r="M74" s="1"/>
  <c r="N74"/>
  <c r="O74"/>
  <c r="Q74"/>
  <c r="M71"/>
  <c r="S71" s="1"/>
  <c r="E70"/>
  <c r="E67"/>
  <c r="M67" s="1"/>
  <c r="S67" s="1"/>
  <c r="E66"/>
  <c r="M66" s="1"/>
  <c r="S66" s="1"/>
  <c r="E65"/>
  <c r="M65" s="1"/>
  <c r="S65" s="1"/>
  <c r="E57"/>
  <c r="K10" i="11"/>
  <c r="E54" i="8"/>
  <c r="E53"/>
  <c r="E50"/>
  <c r="E49"/>
  <c r="E41"/>
  <c r="E40"/>
  <c r="E39"/>
  <c r="M39" s="1"/>
  <c r="S39" s="1"/>
  <c r="N39"/>
  <c r="O39"/>
  <c r="Q39"/>
  <c r="I38"/>
  <c r="F38"/>
  <c r="G38"/>
  <c r="E32"/>
  <c r="E31"/>
  <c r="E25"/>
  <c r="E24"/>
  <c r="M24" s="1"/>
  <c r="M92" l="1"/>
  <c r="S92" s="1"/>
  <c r="S90"/>
  <c r="M38"/>
  <c r="R38"/>
  <c r="P40"/>
  <c r="R40"/>
  <c r="M31" i="11"/>
  <c r="P54" i="8"/>
  <c r="R54"/>
  <c r="P75"/>
  <c r="R75"/>
  <c r="R73" s="1"/>
  <c r="S78"/>
  <c r="S113"/>
  <c r="R23"/>
  <c r="M53"/>
  <c r="S53" s="1"/>
  <c r="S74"/>
  <c r="S218"/>
  <c r="R33"/>
  <c r="N49"/>
  <c r="R49"/>
  <c r="P53"/>
  <c r="R53"/>
  <c r="P41"/>
  <c r="R41"/>
  <c r="M72"/>
  <c r="R72"/>
  <c r="Q24"/>
  <c r="R24"/>
  <c r="R30" s="1"/>
  <c r="M51"/>
  <c r="R51"/>
  <c r="S76"/>
  <c r="M32"/>
  <c r="O24"/>
  <c r="M25"/>
  <c r="M31"/>
  <c r="M54"/>
  <c r="M49"/>
  <c r="M213"/>
  <c r="S213" s="1"/>
  <c r="M26"/>
  <c r="O26"/>
  <c r="P26"/>
  <c r="Q26"/>
  <c r="N26"/>
  <c r="N32"/>
  <c r="O32"/>
  <c r="P32"/>
  <c r="Q32"/>
  <c r="M41"/>
  <c r="P24"/>
  <c r="Q21"/>
  <c r="N21"/>
  <c r="O21"/>
  <c r="P21"/>
  <c r="O25"/>
  <c r="Q25"/>
  <c r="P25"/>
  <c r="N25"/>
  <c r="Q31"/>
  <c r="N31"/>
  <c r="P31"/>
  <c r="O31"/>
  <c r="Q41"/>
  <c r="M174"/>
  <c r="S174" s="1"/>
  <c r="N24"/>
  <c r="S24" s="1"/>
  <c r="M28"/>
  <c r="Q28"/>
  <c r="P28"/>
  <c r="O28"/>
  <c r="N28"/>
  <c r="Q22"/>
  <c r="O22"/>
  <c r="N22"/>
  <c r="P22"/>
  <c r="M27"/>
  <c r="N27"/>
  <c r="P27"/>
  <c r="O27"/>
  <c r="Q27"/>
  <c r="M29"/>
  <c r="P29"/>
  <c r="Q29"/>
  <c r="N29"/>
  <c r="O29"/>
  <c r="M50"/>
  <c r="M57"/>
  <c r="M180"/>
  <c r="M64"/>
  <c r="O96"/>
  <c r="N96"/>
  <c r="P96"/>
  <c r="Q96"/>
  <c r="N137"/>
  <c r="Q137"/>
  <c r="O137"/>
  <c r="P137"/>
  <c r="O216"/>
  <c r="Q216"/>
  <c r="N216"/>
  <c r="P216"/>
  <c r="N53"/>
  <c r="N102"/>
  <c r="O102"/>
  <c r="P102"/>
  <c r="Q102"/>
  <c r="Q230"/>
  <c r="N230"/>
  <c r="O230"/>
  <c r="P230"/>
  <c r="Q95"/>
  <c r="P95"/>
  <c r="O95"/>
  <c r="N95"/>
  <c r="Q185"/>
  <c r="N185"/>
  <c r="O185"/>
  <c r="P185"/>
  <c r="P184" s="1"/>
  <c r="N38"/>
  <c r="O135"/>
  <c r="P135"/>
  <c r="N135"/>
  <c r="Q135"/>
  <c r="Q145"/>
  <c r="N145"/>
  <c r="O145"/>
  <c r="P145"/>
  <c r="P15"/>
  <c r="N15"/>
  <c r="O15"/>
  <c r="Q15"/>
  <c r="M95"/>
  <c r="O53"/>
  <c r="M185"/>
  <c r="H1063" i="10"/>
  <c r="G1069"/>
  <c r="M230" i="8"/>
  <c r="N51"/>
  <c r="Q51"/>
  <c r="P51"/>
  <c r="O51"/>
  <c r="Q40"/>
  <c r="Q54"/>
  <c r="M137"/>
  <c r="O54"/>
  <c r="M96"/>
  <c r="N54"/>
  <c r="M216"/>
  <c r="O38"/>
  <c r="O41"/>
  <c r="M135"/>
  <c r="S135" s="1"/>
  <c r="N41"/>
  <c r="M75"/>
  <c r="M145"/>
  <c r="N64"/>
  <c r="Q75"/>
  <c r="M102"/>
  <c r="O75"/>
  <c r="N75"/>
  <c r="O72"/>
  <c r="Q72"/>
  <c r="P72"/>
  <c r="N72"/>
  <c r="O64"/>
  <c r="O40"/>
  <c r="N40"/>
  <c r="M40"/>
  <c r="S40" s="1"/>
  <c r="Q44"/>
  <c r="O44"/>
  <c r="M44"/>
  <c r="P44"/>
  <c r="N44"/>
  <c r="K12"/>
  <c r="P45"/>
  <c r="N45"/>
  <c r="Q45"/>
  <c r="O45"/>
  <c r="M45"/>
  <c r="P38"/>
  <c r="P37" s="1"/>
  <c r="P52"/>
  <c r="Q53"/>
  <c r="Q38"/>
  <c r="P233"/>
  <c r="I30" i="11"/>
  <c r="L30"/>
  <c r="J30"/>
  <c r="G1524" i="10"/>
  <c r="G1389"/>
  <c r="G1160"/>
  <c r="G1146"/>
  <c r="G1133"/>
  <c r="G528"/>
  <c r="K198" i="8"/>
  <c r="R198" s="1"/>
  <c r="R196" s="1"/>
  <c r="G933" i="10"/>
  <c r="H933" s="1"/>
  <c r="G912"/>
  <c r="H912" s="1"/>
  <c r="G941"/>
  <c r="H941" s="1"/>
  <c r="G1201"/>
  <c r="H1201" s="1"/>
  <c r="K124" i="8"/>
  <c r="R124" s="1"/>
  <c r="G624" i="10"/>
  <c r="H624" s="1"/>
  <c r="K169" i="8"/>
  <c r="R169" s="1"/>
  <c r="R168" s="1"/>
  <c r="G888" i="10"/>
  <c r="H888" s="1"/>
  <c r="K101" i="8"/>
  <c r="R101" s="1"/>
  <c r="K154"/>
  <c r="R154" s="1"/>
  <c r="K129"/>
  <c r="R129" s="1"/>
  <c r="R128" s="1"/>
  <c r="R133" s="1"/>
  <c r="M21" i="11" s="1"/>
  <c r="K152" i="8"/>
  <c r="R152" s="1"/>
  <c r="K190"/>
  <c r="R190" s="1"/>
  <c r="R189" s="1"/>
  <c r="K192"/>
  <c r="K226"/>
  <c r="R226" s="1"/>
  <c r="R231" s="1"/>
  <c r="M32" i="11" s="1"/>
  <c r="K108" i="8"/>
  <c r="R108" s="1"/>
  <c r="R106" s="1"/>
  <c r="K151"/>
  <c r="R151" s="1"/>
  <c r="K153"/>
  <c r="R153" s="1"/>
  <c r="E22"/>
  <c r="M22" s="1"/>
  <c r="E21"/>
  <c r="M21" s="1"/>
  <c r="E20"/>
  <c r="M20" s="1"/>
  <c r="E19"/>
  <c r="M19" s="1"/>
  <c r="E18"/>
  <c r="M18" s="1"/>
  <c r="E17"/>
  <c r="M17" s="1"/>
  <c r="E16"/>
  <c r="M16" s="1"/>
  <c r="E15"/>
  <c r="M15" s="1"/>
  <c r="S15" s="1"/>
  <c r="E14"/>
  <c r="M14" s="1"/>
  <c r="S14" s="1"/>
  <c r="E13"/>
  <c r="M13" s="1"/>
  <c r="S13" s="1"/>
  <c r="M219" l="1"/>
  <c r="S216"/>
  <c r="M184"/>
  <c r="S185"/>
  <c r="R160"/>
  <c r="M24" i="11" s="1"/>
  <c r="S95" i="8"/>
  <c r="S27"/>
  <c r="S25"/>
  <c r="M34" i="11"/>
  <c r="S21" i="8"/>
  <c r="S45"/>
  <c r="S44"/>
  <c r="S145"/>
  <c r="S96"/>
  <c r="S41"/>
  <c r="S54"/>
  <c r="S32"/>
  <c r="R52"/>
  <c r="M192"/>
  <c r="R192"/>
  <c r="M62"/>
  <c r="S62" s="1"/>
  <c r="S57"/>
  <c r="S28"/>
  <c r="S22"/>
  <c r="S137"/>
  <c r="S38"/>
  <c r="S102"/>
  <c r="S75"/>
  <c r="S230"/>
  <c r="S29"/>
  <c r="S26"/>
  <c r="S31"/>
  <c r="S51"/>
  <c r="S72"/>
  <c r="R35"/>
  <c r="R244"/>
  <c r="R37"/>
  <c r="M37"/>
  <c r="Q37"/>
  <c r="M52"/>
  <c r="P30"/>
  <c r="Q30"/>
  <c r="P98"/>
  <c r="K15" i="11" s="1"/>
  <c r="Q108" i="8"/>
  <c r="Q106" s="1"/>
  <c r="P108"/>
  <c r="P106" s="1"/>
  <c r="N108"/>
  <c r="N106" s="1"/>
  <c r="O108"/>
  <c r="O106" s="1"/>
  <c r="Q101"/>
  <c r="O101"/>
  <c r="N101"/>
  <c r="P101"/>
  <c r="O152"/>
  <c r="P152"/>
  <c r="N152"/>
  <c r="Q152"/>
  <c r="O198"/>
  <c r="Q198"/>
  <c r="N198"/>
  <c r="P198"/>
  <c r="P196" s="1"/>
  <c r="N190"/>
  <c r="P190"/>
  <c r="Q190"/>
  <c r="O190"/>
  <c r="N30"/>
  <c r="P153"/>
  <c r="N153"/>
  <c r="Q153"/>
  <c r="O153"/>
  <c r="P226"/>
  <c r="P231" s="1"/>
  <c r="O226"/>
  <c r="O231" s="1"/>
  <c r="N226"/>
  <c r="N231" s="1"/>
  <c r="Q226"/>
  <c r="Q231" s="1"/>
  <c r="N129"/>
  <c r="N128" s="1"/>
  <c r="Q129"/>
  <c r="Q128" s="1"/>
  <c r="P129"/>
  <c r="P128" s="1"/>
  <c r="O129"/>
  <c r="O128" s="1"/>
  <c r="P169"/>
  <c r="P168" s="1"/>
  <c r="O169"/>
  <c r="O168" s="1"/>
  <c r="N169"/>
  <c r="N168" s="1"/>
  <c r="Q169"/>
  <c r="Q168" s="1"/>
  <c r="O30"/>
  <c r="M30"/>
  <c r="S30" s="1"/>
  <c r="O124"/>
  <c r="P124"/>
  <c r="N124"/>
  <c r="Q124"/>
  <c r="M12"/>
  <c r="N151"/>
  <c r="Q151"/>
  <c r="P151"/>
  <c r="O151"/>
  <c r="Q192"/>
  <c r="O192"/>
  <c r="N192"/>
  <c r="P192"/>
  <c r="N154"/>
  <c r="Q154"/>
  <c r="O154"/>
  <c r="P154"/>
  <c r="M33"/>
  <c r="M129"/>
  <c r="M108"/>
  <c r="M154"/>
  <c r="M153"/>
  <c r="M169"/>
  <c r="O98"/>
  <c r="J15" i="11" s="1"/>
  <c r="M124" i="8"/>
  <c r="M190"/>
  <c r="M101"/>
  <c r="M226"/>
  <c r="M152"/>
  <c r="N98"/>
  <c r="I15" i="11" s="1"/>
  <c r="Q98" i="8"/>
  <c r="L15" i="11" s="1"/>
  <c r="M198" i="8"/>
  <c r="M94"/>
  <c r="M151"/>
  <c r="P33"/>
  <c r="O33"/>
  <c r="N33"/>
  <c r="Q33"/>
  <c r="P243"/>
  <c r="K33" i="11" s="1"/>
  <c r="K30"/>
  <c r="P219" i="8"/>
  <c r="K31" i="11" s="1"/>
  <c r="E12" i="8"/>
  <c r="G1161" i="10"/>
  <c r="H1160"/>
  <c r="G529"/>
  <c r="K70" i="8" s="1"/>
  <c r="H528" i="10"/>
  <c r="G1147"/>
  <c r="H1146"/>
  <c r="G1134"/>
  <c r="K142" i="8" s="1"/>
  <c r="R142" s="1"/>
  <c r="H1133" i="10"/>
  <c r="G1525"/>
  <c r="H1524"/>
  <c r="H1068"/>
  <c r="G1390"/>
  <c r="H1389"/>
  <c r="N37" i="8"/>
  <c r="O52"/>
  <c r="O37"/>
  <c r="Q52"/>
  <c r="G1202" i="10"/>
  <c r="G913"/>
  <c r="G942"/>
  <c r="G626"/>
  <c r="K125" i="8"/>
  <c r="R125" s="1"/>
  <c r="K103"/>
  <c r="R103" s="1"/>
  <c r="R104" s="1"/>
  <c r="M16" i="11" s="1"/>
  <c r="M233" i="8"/>
  <c r="N233"/>
  <c r="N243" s="1"/>
  <c r="I33" i="11" s="1"/>
  <c r="Q233" i="8"/>
  <c r="Q243" s="1"/>
  <c r="L33" i="11" s="1"/>
  <c r="O233" i="8"/>
  <c r="O243" s="1"/>
  <c r="J33" i="11" s="1"/>
  <c r="G12" i="8"/>
  <c r="F12"/>
  <c r="I12"/>
  <c r="M196" l="1"/>
  <c r="S198"/>
  <c r="M231"/>
  <c r="S231" s="1"/>
  <c r="S226"/>
  <c r="M106"/>
  <c r="S106" s="1"/>
  <c r="S108"/>
  <c r="M70"/>
  <c r="R70"/>
  <c r="R69" s="1"/>
  <c r="M23"/>
  <c r="M243"/>
  <c r="S243" s="1"/>
  <c r="S233"/>
  <c r="M168"/>
  <c r="S168" s="1"/>
  <c r="S169"/>
  <c r="M128"/>
  <c r="S129"/>
  <c r="S37"/>
  <c r="S152"/>
  <c r="S154"/>
  <c r="S101"/>
  <c r="M98"/>
  <c r="S98" s="1"/>
  <c r="S94"/>
  <c r="M8" i="11"/>
  <c r="M189" i="8"/>
  <c r="S190"/>
  <c r="S124"/>
  <c r="S192"/>
  <c r="S151"/>
  <c r="S153"/>
  <c r="S33"/>
  <c r="O160"/>
  <c r="J24" i="11" s="1"/>
  <c r="Q160" i="8"/>
  <c r="L24" i="11" s="1"/>
  <c r="M244" i="8"/>
  <c r="M160"/>
  <c r="N160"/>
  <c r="I24" i="11" s="1"/>
  <c r="P160" i="8"/>
  <c r="K24" i="11" s="1"/>
  <c r="O103" i="8"/>
  <c r="P103"/>
  <c r="Q103"/>
  <c r="N103"/>
  <c r="N125"/>
  <c r="Q125"/>
  <c r="P125"/>
  <c r="O125"/>
  <c r="P142"/>
  <c r="O142"/>
  <c r="N142"/>
  <c r="Q142"/>
  <c r="M103"/>
  <c r="M142"/>
  <c r="S142" s="1"/>
  <c r="M69"/>
  <c r="Q70"/>
  <c r="Q69" s="1"/>
  <c r="O70"/>
  <c r="N70"/>
  <c r="P70"/>
  <c r="P69" s="1"/>
  <c r="M125"/>
  <c r="Q64"/>
  <c r="S64" s="1"/>
  <c r="G1391" i="10"/>
  <c r="H1390"/>
  <c r="H1134"/>
  <c r="H529"/>
  <c r="G914"/>
  <c r="K115" i="8" s="1"/>
  <c r="H913" i="10"/>
  <c r="G943"/>
  <c r="K116" i="8" s="1"/>
  <c r="R116" s="1"/>
  <c r="H942" i="10"/>
  <c r="H1069"/>
  <c r="K194" i="8"/>
  <c r="R194" s="1"/>
  <c r="R193" s="1"/>
  <c r="R200" s="1"/>
  <c r="H1525" i="10"/>
  <c r="H1147"/>
  <c r="H1161"/>
  <c r="G627"/>
  <c r="H626"/>
  <c r="G1203"/>
  <c r="H1202"/>
  <c r="K163" i="8"/>
  <c r="R163" s="1"/>
  <c r="R165" s="1"/>
  <c r="M25" i="11" s="1"/>
  <c r="K43" i="8"/>
  <c r="K123"/>
  <c r="R123" s="1"/>
  <c r="R126" s="1"/>
  <c r="M20" i="11" s="1"/>
  <c r="M43" i="8" l="1"/>
  <c r="R43"/>
  <c r="R42" s="1"/>
  <c r="R55" s="1"/>
  <c r="M104"/>
  <c r="S103"/>
  <c r="S160"/>
  <c r="M115"/>
  <c r="R115"/>
  <c r="R114" s="1"/>
  <c r="R112" s="1"/>
  <c r="R117" s="1"/>
  <c r="M27" i="11"/>
  <c r="M133" i="8"/>
  <c r="S128"/>
  <c r="S69"/>
  <c r="S125"/>
  <c r="M35"/>
  <c r="S70"/>
  <c r="O123"/>
  <c r="O126" s="1"/>
  <c r="J20" i="11" s="1"/>
  <c r="P123" i="8"/>
  <c r="P126" s="1"/>
  <c r="K20" i="11" s="1"/>
  <c r="N123" i="8"/>
  <c r="N126" s="1"/>
  <c r="I20" i="11" s="1"/>
  <c r="Q123" i="8"/>
  <c r="O116"/>
  <c r="Q116"/>
  <c r="P116"/>
  <c r="N116"/>
  <c r="P115"/>
  <c r="Q115"/>
  <c r="O115"/>
  <c r="N115"/>
  <c r="N163"/>
  <c r="N165" s="1"/>
  <c r="I25" i="11" s="1"/>
  <c r="Q163" i="8"/>
  <c r="Q165" s="1"/>
  <c r="L25" i="11" s="1"/>
  <c r="O163" i="8"/>
  <c r="O165" s="1"/>
  <c r="J25" i="11" s="1"/>
  <c r="P163" i="8"/>
  <c r="P165" s="1"/>
  <c r="K25" i="11" s="1"/>
  <c r="O194" i="8"/>
  <c r="O193" s="1"/>
  <c r="N194"/>
  <c r="N193" s="1"/>
  <c r="P194"/>
  <c r="P193" s="1"/>
  <c r="Q194"/>
  <c r="Q193" s="1"/>
  <c r="M116"/>
  <c r="M123"/>
  <c r="Q126"/>
  <c r="L20" i="11" s="1"/>
  <c r="M163" i="8"/>
  <c r="M194"/>
  <c r="S194" s="1"/>
  <c r="N19"/>
  <c r="N50"/>
  <c r="N16"/>
  <c r="N18"/>
  <c r="N17"/>
  <c r="N20"/>
  <c r="O43"/>
  <c r="O42" s="1"/>
  <c r="Q43"/>
  <c r="M42"/>
  <c r="P43"/>
  <c r="P42" s="1"/>
  <c r="N43"/>
  <c r="N42" s="1"/>
  <c r="H1109" i="10"/>
  <c r="N133" i="8"/>
  <c r="I21" i="11" s="1"/>
  <c r="H914" i="10"/>
  <c r="H1110"/>
  <c r="K80" i="8"/>
  <c r="R80" s="1"/>
  <c r="R79" s="1"/>
  <c r="R84" s="1"/>
  <c r="M11" i="11" s="1"/>
  <c r="H627" i="10"/>
  <c r="H943"/>
  <c r="K171" i="8"/>
  <c r="R171" s="1"/>
  <c r="R167" s="1"/>
  <c r="R187" s="1"/>
  <c r="M26" i="11" s="1"/>
  <c r="H1391" i="10"/>
  <c r="H1203"/>
  <c r="H14" i="11"/>
  <c r="K144" i="8"/>
  <c r="R144" s="1"/>
  <c r="K138"/>
  <c r="R138" s="1"/>
  <c r="K143"/>
  <c r="R143" s="1"/>
  <c r="O69"/>
  <c r="N69"/>
  <c r="K146"/>
  <c r="R146" s="1"/>
  <c r="N189"/>
  <c r="M9" i="11" l="1"/>
  <c r="M12" s="1"/>
  <c r="R85" i="8"/>
  <c r="M55"/>
  <c r="M114"/>
  <c r="S116"/>
  <c r="S115"/>
  <c r="S43"/>
  <c r="M126"/>
  <c r="S126" s="1"/>
  <c r="S123"/>
  <c r="R118"/>
  <c r="M17" i="11"/>
  <c r="M18" s="1"/>
  <c r="M165" i="8"/>
  <c r="S165" s="1"/>
  <c r="S163"/>
  <c r="R147"/>
  <c r="M23" i="11" s="1"/>
  <c r="O146" i="8"/>
  <c r="N146"/>
  <c r="P146"/>
  <c r="Q146"/>
  <c r="N138"/>
  <c r="Q138"/>
  <c r="O138"/>
  <c r="P138"/>
  <c r="O143"/>
  <c r="P143"/>
  <c r="N143"/>
  <c r="Q143"/>
  <c r="N144"/>
  <c r="Q144"/>
  <c r="P144"/>
  <c r="O144"/>
  <c r="N171"/>
  <c r="N167" s="1"/>
  <c r="Q171"/>
  <c r="Q167" s="1"/>
  <c r="O171"/>
  <c r="O167" s="1"/>
  <c r="P171"/>
  <c r="P167" s="1"/>
  <c r="M171"/>
  <c r="M146"/>
  <c r="M143"/>
  <c r="S143" s="1"/>
  <c r="M138"/>
  <c r="P80"/>
  <c r="P79" s="1"/>
  <c r="N80"/>
  <c r="N79" s="1"/>
  <c r="O80"/>
  <c r="O79" s="1"/>
  <c r="Q80"/>
  <c r="Q79" s="1"/>
  <c r="M80"/>
  <c r="M144"/>
  <c r="P114"/>
  <c r="P112" s="1"/>
  <c r="P133"/>
  <c r="K21" i="11" s="1"/>
  <c r="P18" i="8"/>
  <c r="P20"/>
  <c r="P17"/>
  <c r="K14" i="11"/>
  <c r="P180" i="8"/>
  <c r="P189"/>
  <c r="P200" s="1"/>
  <c r="K27" i="11" s="1"/>
  <c r="P104" i="8"/>
  <c r="K16" i="11" s="1"/>
  <c r="P50" i="8"/>
  <c r="P49"/>
  <c r="P16"/>
  <c r="P19"/>
  <c r="O49"/>
  <c r="O16"/>
  <c r="O18"/>
  <c r="O17"/>
  <c r="O50"/>
  <c r="O20"/>
  <c r="O19"/>
  <c r="N219"/>
  <c r="M193"/>
  <c r="N114"/>
  <c r="N112" s="1"/>
  <c r="N117" s="1"/>
  <c r="I17" i="11" s="1"/>
  <c r="N52" i="8"/>
  <c r="S52" s="1"/>
  <c r="N180"/>
  <c r="H24" i="11"/>
  <c r="H31"/>
  <c r="H32"/>
  <c r="I14"/>
  <c r="H15"/>
  <c r="H30"/>
  <c r="H16"/>
  <c r="K136" i="8"/>
  <c r="R136" s="1"/>
  <c r="R139" s="1"/>
  <c r="J14" i="11"/>
  <c r="O114" i="8"/>
  <c r="O112" s="1"/>
  <c r="N184"/>
  <c r="N104"/>
  <c r="I16" i="11" s="1"/>
  <c r="N12" i="8"/>
  <c r="N196"/>
  <c r="O189"/>
  <c r="I32" i="11"/>
  <c r="O133" i="8"/>
  <c r="J21" i="11" s="1"/>
  <c r="S18" i="8" l="1"/>
  <c r="M35" i="11"/>
  <c r="S16" i="8"/>
  <c r="M22" i="11"/>
  <c r="M28" s="1"/>
  <c r="R201" i="8"/>
  <c r="N23"/>
  <c r="N35" s="1"/>
  <c r="M200"/>
  <c r="S193"/>
  <c r="N200"/>
  <c r="I27" i="11" s="1"/>
  <c r="S138" i="8"/>
  <c r="R245"/>
  <c r="S144"/>
  <c r="S146"/>
  <c r="I31" i="11"/>
  <c r="I34" s="1"/>
  <c r="M112" i="8"/>
  <c r="M79"/>
  <c r="S79" s="1"/>
  <c r="S80"/>
  <c r="M167"/>
  <c r="S167" s="1"/>
  <c r="S171"/>
  <c r="S49"/>
  <c r="M147"/>
  <c r="S147" s="1"/>
  <c r="O147"/>
  <c r="J23" i="11" s="1"/>
  <c r="P55" i="8"/>
  <c r="K9" i="11" s="1"/>
  <c r="O55" i="8"/>
  <c r="J9" i="11" s="1"/>
  <c r="Q147" i="8"/>
  <c r="N147"/>
  <c r="I23" i="11" s="1"/>
  <c r="N55" i="8"/>
  <c r="I9" i="11" s="1"/>
  <c r="P136" i="8"/>
  <c r="P139" s="1"/>
  <c r="K22" i="11" s="1"/>
  <c r="N136" i="8"/>
  <c r="Q136"/>
  <c r="Q139" s="1"/>
  <c r="L22" i="11" s="1"/>
  <c r="O136" i="8"/>
  <c r="P147"/>
  <c r="K23" i="11" s="1"/>
  <c r="P187" i="8"/>
  <c r="M136"/>
  <c r="P244"/>
  <c r="K32" i="11"/>
  <c r="P117" i="8"/>
  <c r="K17" i="11" s="1"/>
  <c r="P12" i="8"/>
  <c r="Q49"/>
  <c r="Q20"/>
  <c r="S20" s="1"/>
  <c r="Q50"/>
  <c r="S50" s="1"/>
  <c r="Q19"/>
  <c r="S19" s="1"/>
  <c r="Q16"/>
  <c r="Q18"/>
  <c r="Q17"/>
  <c r="S17" s="1"/>
  <c r="O180"/>
  <c r="O117"/>
  <c r="J17" i="11" s="1"/>
  <c r="N244" i="8"/>
  <c r="N118"/>
  <c r="N187"/>
  <c r="H27" i="11"/>
  <c r="H8"/>
  <c r="H21"/>
  <c r="H25"/>
  <c r="H20"/>
  <c r="O196" i="8"/>
  <c r="O200" s="1"/>
  <c r="J27" i="11" s="1"/>
  <c r="H33"/>
  <c r="H34" s="1"/>
  <c r="O104" i="8"/>
  <c r="J16" i="11" s="1"/>
  <c r="Q42" i="8"/>
  <c r="S42" s="1"/>
  <c r="O12"/>
  <c r="O23" s="1"/>
  <c r="O219"/>
  <c r="J31" i="11" s="1"/>
  <c r="J32"/>
  <c r="O184" i="8"/>
  <c r="S180" l="1"/>
  <c r="S184"/>
  <c r="M187"/>
  <c r="M139"/>
  <c r="S136"/>
  <c r="M117"/>
  <c r="S55"/>
  <c r="P118"/>
  <c r="M201"/>
  <c r="P23"/>
  <c r="P35" s="1"/>
  <c r="K8" i="11" s="1"/>
  <c r="K26"/>
  <c r="P201" i="8"/>
  <c r="Q55"/>
  <c r="L9" i="11" s="1"/>
  <c r="O187" i="8"/>
  <c r="I8" i="11"/>
  <c r="N14"/>
  <c r="L14"/>
  <c r="I26"/>
  <c r="N139" i="8"/>
  <c r="I22" i="11" s="1"/>
  <c r="Q133" i="8"/>
  <c r="Q114"/>
  <c r="Q189"/>
  <c r="S189" s="1"/>
  <c r="O139"/>
  <c r="J22" i="11" s="1"/>
  <c r="O244" i="8"/>
  <c r="Q180"/>
  <c r="L23" i="11"/>
  <c r="N30"/>
  <c r="O118" i="8"/>
  <c r="N20" i="11"/>
  <c r="H9"/>
  <c r="J34"/>
  <c r="H22"/>
  <c r="Q219" i="8"/>
  <c r="Q12"/>
  <c r="Q23" s="1"/>
  <c r="I18" i="11"/>
  <c r="Q184" i="8"/>
  <c r="Q196"/>
  <c r="S196" s="1"/>
  <c r="L32" i="11"/>
  <c r="Q104" i="8"/>
  <c r="M118" l="1"/>
  <c r="L31" i="11"/>
  <c r="L34" s="1"/>
  <c r="S219" i="8"/>
  <c r="Q112"/>
  <c r="S112" s="1"/>
  <c r="S114"/>
  <c r="S23"/>
  <c r="S139"/>
  <c r="L16" i="11"/>
  <c r="S104" i="8"/>
  <c r="L21" i="11"/>
  <c r="S133" i="8"/>
  <c r="H26" i="11"/>
  <c r="S187" i="8"/>
  <c r="S12"/>
  <c r="N201"/>
  <c r="J26" i="11"/>
  <c r="O201" i="8"/>
  <c r="Q187"/>
  <c r="L26" i="11" s="1"/>
  <c r="Q35" i="8"/>
  <c r="O35"/>
  <c r="Q244"/>
  <c r="S244" s="1"/>
  <c r="Q117"/>
  <c r="S117" s="1"/>
  <c r="Q200"/>
  <c r="S200" s="1"/>
  <c r="I28" i="11"/>
  <c r="O14"/>
  <c r="N9"/>
  <c r="O9" s="1"/>
  <c r="H23"/>
  <c r="H28" s="1"/>
  <c r="H17"/>
  <c r="H18" s="1"/>
  <c r="N32"/>
  <c r="O20"/>
  <c r="J18"/>
  <c r="O30"/>
  <c r="S35" i="8" l="1"/>
  <c r="Q201"/>
  <c r="S201" s="1"/>
  <c r="L8" i="11"/>
  <c r="J8"/>
  <c r="N33"/>
  <c r="O33" s="1"/>
  <c r="N31"/>
  <c r="O31" s="1"/>
  <c r="N27"/>
  <c r="O27" s="1"/>
  <c r="L27"/>
  <c r="L28" s="1"/>
  <c r="N25"/>
  <c r="O25" s="1"/>
  <c r="N22"/>
  <c r="O22" s="1"/>
  <c r="N21"/>
  <c r="O21" s="1"/>
  <c r="Q118" i="8"/>
  <c r="S118" s="1"/>
  <c r="L17" i="11"/>
  <c r="L18" s="1"/>
  <c r="N16"/>
  <c r="O16" s="1"/>
  <c r="N15"/>
  <c r="O15" s="1"/>
  <c r="N23"/>
  <c r="O23" s="1"/>
  <c r="K34"/>
  <c r="N17"/>
  <c r="K18"/>
  <c r="N8" l="1"/>
  <c r="N26"/>
  <c r="O26" s="1"/>
  <c r="K28"/>
  <c r="O17"/>
  <c r="N18"/>
  <c r="O18" s="1"/>
  <c r="O8" l="1"/>
  <c r="J28"/>
  <c r="N24"/>
  <c r="N34" l="1"/>
  <c r="O34" s="1"/>
  <c r="O32"/>
  <c r="N28" l="1"/>
  <c r="O28" s="1"/>
  <c r="O24"/>
  <c r="I10" l="1"/>
  <c r="L10"/>
  <c r="J10"/>
  <c r="N10" l="1"/>
  <c r="H10"/>
  <c r="O10" l="1"/>
  <c r="H598" i="10" l="1"/>
  <c r="P77" i="8" l="1"/>
  <c r="P73" s="1"/>
  <c r="P84" s="1"/>
  <c r="P85" s="1"/>
  <c r="P245" s="1"/>
  <c r="M77"/>
  <c r="N77"/>
  <c r="N73" s="1"/>
  <c r="N84" s="1"/>
  <c r="N85" s="1"/>
  <c r="N245" s="1"/>
  <c r="Q77"/>
  <c r="Q73" s="1"/>
  <c r="Q84" s="1"/>
  <c r="Q85" s="1"/>
  <c r="Q245" s="1"/>
  <c r="O77"/>
  <c r="O73" s="1"/>
  <c r="O84" s="1"/>
  <c r="O85" s="1"/>
  <c r="O245" s="1"/>
  <c r="M73" l="1"/>
  <c r="S77"/>
  <c r="J11" i="11"/>
  <c r="J12" s="1"/>
  <c r="J35" s="1"/>
  <c r="I11"/>
  <c r="I12" s="1"/>
  <c r="I35" s="1"/>
  <c r="K11"/>
  <c r="K12" s="1"/>
  <c r="K35" s="1"/>
  <c r="L11"/>
  <c r="L12" s="1"/>
  <c r="L35" s="1"/>
  <c r="M84" i="8" l="1"/>
  <c r="S73"/>
  <c r="M85" l="1"/>
  <c r="S84"/>
  <c r="N11" i="11" s="1"/>
  <c r="H11"/>
  <c r="H12" s="1"/>
  <c r="H35" s="1"/>
  <c r="M245" i="8" l="1"/>
  <c r="S245" s="1"/>
  <c r="A85"/>
  <c r="S85"/>
  <c r="O11" i="11"/>
  <c r="N12"/>
  <c r="N35" l="1"/>
  <c r="O35" s="1"/>
  <c r="O12"/>
  <c r="H1679" i="10"/>
  <c r="B413"/>
  <c r="B34" i="12"/>
  <c r="B400" i="10"/>
  <c r="B33" i="12"/>
  <c r="B445" i="10"/>
  <c r="B35" i="12"/>
</calcChain>
</file>

<file path=xl/comments1.xml><?xml version="1.0" encoding="utf-8"?>
<comments xmlns="http://schemas.openxmlformats.org/spreadsheetml/2006/main">
  <authors>
    <author>DAFFODIL</author>
  </authors>
  <commentList>
    <comment ref="C161" authorId="0">
      <text>
        <r>
          <rPr>
            <b/>
            <sz val="9"/>
            <color indexed="81"/>
            <rFont val="Tahoma"/>
            <family val="2"/>
          </rPr>
          <t>DAFFODIL:</t>
        </r>
        <r>
          <rPr>
            <sz val="9"/>
            <color indexed="81"/>
            <rFont val="Tahoma"/>
            <family val="2"/>
          </rPr>
          <t xml:space="preserve">
Ref: icddr,b</t>
        </r>
      </text>
    </comment>
  </commentList>
</comments>
</file>

<file path=xl/sharedStrings.xml><?xml version="1.0" encoding="utf-8"?>
<sst xmlns="http://schemas.openxmlformats.org/spreadsheetml/2006/main" count="3525" uniqueCount="1164">
  <si>
    <t>Sl. No.</t>
  </si>
  <si>
    <t>Specific Activities</t>
  </si>
  <si>
    <t>Measurement Unit</t>
  </si>
  <si>
    <t>1.1.1</t>
  </si>
  <si>
    <t>No. of person</t>
  </si>
  <si>
    <t>1.1.2</t>
  </si>
  <si>
    <t>1.1.3</t>
  </si>
  <si>
    <t>1.2.1</t>
  </si>
  <si>
    <t>1.2.1.1</t>
  </si>
  <si>
    <t xml:space="preserve">Conduct national situation assessment to find out migration prone districts and related information </t>
  </si>
  <si>
    <t>No. of assessment</t>
  </si>
  <si>
    <t>1.2.1.2</t>
  </si>
  <si>
    <t>No. of BCC packages</t>
  </si>
  <si>
    <t>1.2.1.3</t>
  </si>
  <si>
    <t>Pre-departure orientation of migrants</t>
  </si>
  <si>
    <t>1.2.1.4</t>
  </si>
  <si>
    <t>1.2.2</t>
  </si>
  <si>
    <t>1.2.4</t>
  </si>
  <si>
    <t>No. of meeting</t>
  </si>
  <si>
    <t>1.3.1</t>
  </si>
  <si>
    <t>1.3.2</t>
  </si>
  <si>
    <t>No. of hospital</t>
  </si>
  <si>
    <t>Package of TA</t>
  </si>
  <si>
    <t>Develop and implement interventions for emerging risk and higher vulnerable population</t>
  </si>
  <si>
    <t>No. of study</t>
  </si>
  <si>
    <t>Conduct study on identifed emerging risk and higher vulnerable population</t>
  </si>
  <si>
    <t>1.4.1</t>
  </si>
  <si>
    <t>1.4.2</t>
  </si>
  <si>
    <t>1.4.3</t>
  </si>
  <si>
    <t>1.4.3.1</t>
  </si>
  <si>
    <t>Promote awareness among health care workers (64 districts)</t>
  </si>
  <si>
    <t>No. of districts</t>
  </si>
  <si>
    <t>1.4.3.2</t>
  </si>
  <si>
    <t>Establish referral and support centre</t>
  </si>
  <si>
    <t>No. of center</t>
  </si>
  <si>
    <t>1.4.3.3</t>
  </si>
  <si>
    <t>Provide PEP starter kits</t>
  </si>
  <si>
    <t>No. of procurement</t>
  </si>
  <si>
    <t>1.4.4</t>
  </si>
  <si>
    <t>1.4.4.1</t>
  </si>
  <si>
    <t>No. of TA</t>
  </si>
  <si>
    <t>1.4.4.2</t>
  </si>
  <si>
    <t>1.4.4.3</t>
  </si>
  <si>
    <t>Review, revise, update and print STI management guideline</t>
  </si>
  <si>
    <t>No. of review and printing</t>
  </si>
  <si>
    <t>Training of service providers as per management guideline</t>
  </si>
  <si>
    <t>No. of center supported</t>
  </si>
  <si>
    <t>No. of development</t>
  </si>
  <si>
    <t xml:space="preserve">No. of districts </t>
  </si>
  <si>
    <t>4.1.1</t>
  </si>
  <si>
    <t>No. of year supported</t>
  </si>
  <si>
    <t>4.1.2</t>
  </si>
  <si>
    <t>4.1.3</t>
  </si>
  <si>
    <t>Establish sentinel STI surveillance</t>
  </si>
  <si>
    <t>4.2.1</t>
  </si>
  <si>
    <t>Conduct studies based on emerging needs</t>
  </si>
  <si>
    <t>4.2.2</t>
  </si>
  <si>
    <t>Conduct size estimation studies</t>
  </si>
  <si>
    <t>Serological survey (HIV and Syphilis) at ANC and STI service sites in selected distrcits (PLHIV populated)</t>
  </si>
  <si>
    <t>4.3.1</t>
  </si>
  <si>
    <t>4.3.2</t>
  </si>
  <si>
    <t>No. months supported</t>
  </si>
  <si>
    <t>No. of time supported</t>
  </si>
  <si>
    <t>4.3.3</t>
  </si>
  <si>
    <t>4.3.4</t>
  </si>
  <si>
    <t>4.3.5</t>
  </si>
  <si>
    <t>4.3.6</t>
  </si>
  <si>
    <t>4.3.7</t>
  </si>
  <si>
    <t>4.3.8</t>
  </si>
  <si>
    <t>4.3.9</t>
  </si>
  <si>
    <t>4.3.10</t>
  </si>
  <si>
    <t>No. of visits</t>
  </si>
  <si>
    <t>Conduct evaluation of design and effectiveness of current targeted interventions</t>
  </si>
  <si>
    <t>4.4.2</t>
  </si>
  <si>
    <t>4.4.3</t>
  </si>
  <si>
    <t>4.4.4</t>
  </si>
  <si>
    <t>Implement HIV Mangement Information system</t>
  </si>
  <si>
    <t>Maintain HIV Management Information System</t>
  </si>
  <si>
    <t>4.4.5</t>
  </si>
  <si>
    <t>Development of inventory of all relevant resources</t>
  </si>
  <si>
    <t>4.4.6</t>
  </si>
  <si>
    <t>4.4.7</t>
  </si>
  <si>
    <t>4.4.8</t>
  </si>
  <si>
    <t>Develop and maintain an accreditation system for trained service providers</t>
  </si>
  <si>
    <t>Develop selected Internal Medicine department of public medical college hospitals for complex treatment referral center and support for local level providers</t>
  </si>
  <si>
    <t>Establish pediatric HIV management center in a child hospital</t>
  </si>
  <si>
    <t>2.2.1</t>
  </si>
  <si>
    <t>Review, update and dissemination of treatment protocol - 2 times</t>
  </si>
  <si>
    <t>2.2.2</t>
  </si>
  <si>
    <t>Integrate HIV treatment and management in medical curriculum</t>
  </si>
  <si>
    <t>2.2.3</t>
  </si>
  <si>
    <t>2.2.4</t>
  </si>
  <si>
    <t>Develop, facilitate and maintain Professional Society of ART providers</t>
  </si>
  <si>
    <t>No. of year support</t>
  </si>
  <si>
    <t>2.3.1</t>
  </si>
  <si>
    <t>Implement comprehensive care plan model</t>
  </si>
  <si>
    <t>Develop/update protocol for care and support</t>
  </si>
  <si>
    <t>No. of protocol developed</t>
  </si>
  <si>
    <t>Conduct capacity buidling for care providers</t>
  </si>
  <si>
    <t>2.3.2</t>
  </si>
  <si>
    <t>Strengthen capacity of PLHIV organisations to take lead role in care and support coordination</t>
  </si>
  <si>
    <t>Conduct training for PLHIV groups</t>
  </si>
  <si>
    <t>No. of CBO supported</t>
  </si>
  <si>
    <t>3.1.1</t>
  </si>
  <si>
    <t>3.1.2</t>
  </si>
  <si>
    <t>Conduct quarterly meetings of TC-NAC</t>
  </si>
  <si>
    <t>3.1.3</t>
  </si>
  <si>
    <t>No. of report</t>
  </si>
  <si>
    <t>3.2.1</t>
  </si>
  <si>
    <t>3.2.1.1</t>
  </si>
  <si>
    <t>Provide equipment, furniture and logistics</t>
  </si>
  <si>
    <t>3.2.1.2</t>
  </si>
  <si>
    <t>Provide utilities and supplies</t>
  </si>
  <si>
    <t>3.2.2</t>
  </si>
  <si>
    <t>No. of months supported</t>
  </si>
  <si>
    <t>3.2.3</t>
  </si>
  <si>
    <t>3.3.1</t>
  </si>
  <si>
    <t>3.3.2</t>
  </si>
  <si>
    <t>3.3.3</t>
  </si>
  <si>
    <t>Conduct biannual HIV Congress</t>
  </si>
  <si>
    <t>3.3.4</t>
  </si>
  <si>
    <t>Develop functional district level coordination under district health authority (CS) to be facilitated by local agency</t>
  </si>
  <si>
    <t>3.4.1</t>
  </si>
  <si>
    <t>Develop / revise HIV / AIDS advocacy strategy</t>
  </si>
  <si>
    <t>No. of strategy developed</t>
  </si>
  <si>
    <t>Develop advocacy materials (packages)</t>
  </si>
  <si>
    <t>No. of material package developed</t>
  </si>
  <si>
    <t>Conduct national level advocacy</t>
  </si>
  <si>
    <t xml:space="preserve">No. of persons attended </t>
  </si>
  <si>
    <t>Conduct regional/ divisional/ district level advocacy</t>
  </si>
  <si>
    <t xml:space="preserve">Conduct local level advocacy </t>
  </si>
  <si>
    <t>No. of events organized</t>
  </si>
  <si>
    <t>3.5.1</t>
  </si>
  <si>
    <t>Provide technical support for development and implement workplans in key Ministries</t>
  </si>
  <si>
    <t>No. of ministries supported</t>
  </si>
  <si>
    <t>3.5.2</t>
  </si>
  <si>
    <t>Develop and implement strategy for Ministry of Home Affairs</t>
  </si>
  <si>
    <t>3.5.3</t>
  </si>
  <si>
    <t>3.5.4</t>
  </si>
  <si>
    <t xml:space="preserve">Provide technical support to Faith Based Organisations for advocacy, development of IEC materials and Training </t>
  </si>
  <si>
    <t>3.5.5</t>
  </si>
  <si>
    <t>Provide technical support, advocacy and capacity development to private sector to strengthen workplace responses to HIV</t>
  </si>
  <si>
    <t>3.5.6</t>
  </si>
  <si>
    <t>3.5.7</t>
  </si>
  <si>
    <t>Translate into Bangla for wide dissemination of the Recommendation concerning HIV and AIDS and the World of Work among government, employers and workers</t>
  </si>
  <si>
    <t>No of printing</t>
  </si>
  <si>
    <t>3.5.8</t>
  </si>
  <si>
    <t xml:space="preserve">Develop posters and leaflets to ensure non-discrimination and promote protection of HIV infected people in recruitment and employment </t>
  </si>
  <si>
    <t>3.5.9</t>
  </si>
  <si>
    <t xml:space="preserve">Capacity building of employers federation and trade unions on HIV/AIDS </t>
  </si>
  <si>
    <t>No of training sessions</t>
  </si>
  <si>
    <t>3.5.10</t>
  </si>
  <si>
    <t xml:space="preserve">Providing support to the Ministry of Labour and Employment in adoption of the national workplace policy on HIV/AIDS </t>
  </si>
  <si>
    <t xml:space="preserve">No. of meeting </t>
  </si>
  <si>
    <t>3.5.11</t>
  </si>
  <si>
    <t xml:space="preserve">Providing support to the Employers Federation and Trade Unions for adoption of the workplace policy on HIV/AIDS by its members </t>
  </si>
  <si>
    <t>3.6.1</t>
  </si>
  <si>
    <t>No. of analysis done</t>
  </si>
  <si>
    <t>3.6.2</t>
  </si>
  <si>
    <t>3.6.3</t>
  </si>
  <si>
    <t>Develop and implement training plan</t>
  </si>
  <si>
    <t>No. of plan development</t>
  </si>
  <si>
    <t>3.7.1</t>
  </si>
  <si>
    <t>Integrate HIV training into capacity development of the health system</t>
  </si>
  <si>
    <t>3.7.1.1</t>
  </si>
  <si>
    <t>Provide training to address HIV specific needs for laboratory and other areas identifed through program human resources functional analysis</t>
  </si>
  <si>
    <t>3.7.1.1.1</t>
  </si>
  <si>
    <t>Develop protocol and training materials - 4 identified areas</t>
  </si>
  <si>
    <t>3.7.1.1.2</t>
  </si>
  <si>
    <t>Conduct training</t>
  </si>
  <si>
    <t>3.7.1.2</t>
  </si>
  <si>
    <t>Identify and ensure access to training in specialisations identified through human resource functional analysis - out country</t>
  </si>
  <si>
    <t>3.7.1.3</t>
  </si>
  <si>
    <t>Ensure access to training for staff of paediatric HIV services</t>
  </si>
  <si>
    <t>3.7.1.4</t>
  </si>
  <si>
    <t>Integrate basic HIV education into training for all health staff - training of master trainers</t>
  </si>
  <si>
    <t>3.7.2</t>
  </si>
  <si>
    <t>3.7.2.1</t>
  </si>
  <si>
    <t>Provide technical support for ensuring regulatory frameworks mitigate risk (linked with 3.7.1.1)</t>
  </si>
  <si>
    <t>3.7.2.2</t>
  </si>
  <si>
    <t>Technical support will be provided for:(linked with 3.7.1.1)</t>
  </si>
  <si>
    <t>3.7.3</t>
  </si>
  <si>
    <t>3.7.3.1</t>
  </si>
  <si>
    <t>Undertake laboratory needs assessment (linked with 3.7.1.1)</t>
  </si>
  <si>
    <t>3.7.3.2</t>
  </si>
  <si>
    <t>Develop protocol/guidelines for provision of laboratory services (linked with 3.7.1.1)</t>
  </si>
  <si>
    <t>3.7.3.3</t>
  </si>
  <si>
    <t>Ensure appropriate equipment is available (districts / medical college hospital)</t>
  </si>
  <si>
    <t>No. of instituition supported</t>
  </si>
  <si>
    <t>3.7.4</t>
  </si>
  <si>
    <t>Develop linkages with related service areas - Integrate capacity to develop policies, procedures, protocols for shared care and refferal into management training of HIV program management staff (e.g. DIC managers, consortium management staff)</t>
  </si>
  <si>
    <t>Development and production of referral kits</t>
  </si>
  <si>
    <t>No. times developed</t>
  </si>
  <si>
    <t>Conduct training for referral network development</t>
  </si>
  <si>
    <t>3.8.1</t>
  </si>
  <si>
    <t>3.8.1.1</t>
  </si>
  <si>
    <t>3.8.1.2</t>
  </si>
  <si>
    <t>No. of network supported</t>
  </si>
  <si>
    <t>3.8.2</t>
  </si>
  <si>
    <t>3.8.3</t>
  </si>
  <si>
    <t xml:space="preserve">Build sustainability of community system involvement </t>
  </si>
  <si>
    <t>3.8.3.1</t>
  </si>
  <si>
    <t>Provide financial support for core infrastructure of  CBOs to contribute to resource mobilisation and representation functions</t>
  </si>
  <si>
    <t>3.8.3.2</t>
  </si>
  <si>
    <t>3.8.4</t>
  </si>
  <si>
    <t>Provide leadership and accountability training for CBOs</t>
  </si>
  <si>
    <t>Develop standards for governance and management</t>
  </si>
  <si>
    <t>Develop and use management capacity assessment tools</t>
  </si>
  <si>
    <t>Strengthen higher level STI services for complicated case management</t>
  </si>
  <si>
    <t>HIV clinicians meet quarterly to discuss HIV issues under the PMTCT program</t>
  </si>
  <si>
    <t>Strategy 3.6:  Develop human resource capacity across the HIV sector for enhanced response</t>
  </si>
  <si>
    <t>Strategy 3.7:  Strengthen the health system response to HIV</t>
  </si>
  <si>
    <t>Strategy 3.8: Strengthen the community system response to HIV</t>
  </si>
  <si>
    <t>Strategy 3.1: Strengthen NAC and TC-NAC for a more functional role in guiding the national HIV response</t>
  </si>
  <si>
    <t>Strategy 3.4: Conduct advocacy activities for an enabling environment</t>
  </si>
  <si>
    <t>Strategy 4.2: Conduct relevant research to inform the national strategic response</t>
  </si>
  <si>
    <t xml:space="preserve">Strategy 4.3: Strengthen monitoring and evaluation </t>
  </si>
  <si>
    <t>Strategy 4.4: Improve systems for knowledge management</t>
  </si>
  <si>
    <t>Provide OST services for people who inject drugs</t>
  </si>
  <si>
    <t>Provide technical assistance and support to relevant department of Education Ministry to include HIV messages in LSE curriculum and implement accordingly</t>
  </si>
  <si>
    <t>1.4.1.1</t>
  </si>
  <si>
    <t>1.4.1.2</t>
  </si>
  <si>
    <t>1.4.2.1</t>
  </si>
  <si>
    <t>1.4.2.2</t>
  </si>
  <si>
    <t>1.4.2.3</t>
  </si>
  <si>
    <t>1.4.3.4</t>
  </si>
  <si>
    <t>No. of people</t>
  </si>
  <si>
    <t>Provide technical support to Human Rights Commission to address HIV related human rights issues</t>
  </si>
  <si>
    <t>Initiate HIV prevention service provision for international migrants</t>
  </si>
  <si>
    <t>Implement basic HIV prevention services for clients of sex workers</t>
  </si>
  <si>
    <t>Provide training for CBOs on policy development and advocacy.</t>
  </si>
  <si>
    <t xml:space="preserve">Support mentoring / technical assistance for CBOs and network organisations </t>
  </si>
  <si>
    <t>Strengthen linkages between CBOs through cross learning visits</t>
  </si>
  <si>
    <t>Provide management training for CBOs</t>
  </si>
  <si>
    <t>Provide M&amp;E training for CBOs</t>
  </si>
  <si>
    <t>1.2.5</t>
  </si>
  <si>
    <t>Comments/Explanation</t>
  </si>
  <si>
    <t>1.2.2.1</t>
  </si>
  <si>
    <t>1.2.2.2</t>
  </si>
  <si>
    <t>1.2.2.3</t>
  </si>
  <si>
    <t>Condoms</t>
  </si>
  <si>
    <t>Provide ART  to eligible PLHIV</t>
  </si>
  <si>
    <t>Conduct 6-monthly donor coordination meetings</t>
  </si>
  <si>
    <t>During WAD</t>
  </si>
  <si>
    <t>No. of persons</t>
  </si>
  <si>
    <t>No. of studies</t>
  </si>
  <si>
    <t>No. of interventions</t>
  </si>
  <si>
    <t>No. of assessments</t>
  </si>
  <si>
    <t>1.4.3.5</t>
  </si>
  <si>
    <t>3.8.4.1</t>
  </si>
  <si>
    <t>3.8.4.2</t>
  </si>
  <si>
    <t>3.8.4.3</t>
  </si>
  <si>
    <t>Provide PMTCT services</t>
  </si>
  <si>
    <t>Development of protocol for PMTCT</t>
  </si>
  <si>
    <t xml:space="preserve">Strengthen post-exposure prophylaxis (PEP) </t>
  </si>
  <si>
    <t>2.3.3</t>
  </si>
  <si>
    <t>2.3.4</t>
  </si>
  <si>
    <t>2.4.1</t>
  </si>
  <si>
    <t>2.4.1.1</t>
  </si>
  <si>
    <t>2.4.1.2</t>
  </si>
  <si>
    <t>2.4.1.3</t>
  </si>
  <si>
    <t>2.4.1.4</t>
  </si>
  <si>
    <t>2.4.2</t>
  </si>
  <si>
    <t>2.4.2.1</t>
  </si>
  <si>
    <t>2.4.2.2</t>
  </si>
  <si>
    <t>Provide funding to PLHIV organisations to set up and run care and support coordination role</t>
  </si>
  <si>
    <t>Strategy  3.2: Strengthen NASP through providing appropriate structure, human resources and other logistics</t>
  </si>
  <si>
    <t>3.7.2.2.1</t>
  </si>
  <si>
    <t>3.7.2.2.2</t>
  </si>
  <si>
    <t>3.7.2.2.3</t>
  </si>
  <si>
    <t>Ensure systems for drug and essential commodity supplies to minimise the risk of supply interruption and/or sub standard quality.</t>
  </si>
  <si>
    <t>Enhanced system for case reporting of HIV</t>
  </si>
  <si>
    <t>Annual HIV reporting done, but still no real-time reporting mechanisms established</t>
  </si>
  <si>
    <t>No comprehensive study, but the mapping of MARA and EVA, the Migration Situation analysis and the study of young clients of sex workers all relate to emerging risk populations</t>
  </si>
  <si>
    <t>Program in 12  prisons ended in Dec 2013</t>
  </si>
  <si>
    <t>BCC material development (leaflets, posters, brochures etc.)</t>
  </si>
  <si>
    <t>Pilot community based interventions for migrants and their families</t>
  </si>
  <si>
    <t>Expand HTC services to public hospitals at district HQ</t>
  </si>
  <si>
    <t>Establish HTC services in public hospitals at district level</t>
  </si>
  <si>
    <t>Continue HTC services in public hospitals at district level</t>
  </si>
  <si>
    <t>Currently PEP is only available in PMTCT intervention sites</t>
  </si>
  <si>
    <t>Separate guidelines developed for key populations,  general population and for MSM + hijra.</t>
  </si>
  <si>
    <t>Revision/adapation and printing of guidelines for HTC</t>
  </si>
  <si>
    <t>Sensitize and mobilize the involvement of the media in contributing to the HIV response in Bangladesh</t>
  </si>
  <si>
    <t xml:space="preserve">Strengthen laboratory capacity to meet HIV needs. </t>
  </si>
  <si>
    <t>No. of guidelines</t>
  </si>
  <si>
    <t>Conduct mass media BCC campaigns based on different risk behaviors including STI</t>
  </si>
  <si>
    <t>Conduct pilot intervention for Especially Vulnerable Adolescents (EVA) with subsequent assessment</t>
  </si>
  <si>
    <t xml:space="preserve">Integrate and promote STI knowledge in general health BCC strategies </t>
  </si>
  <si>
    <t>Conduct 6-monthly dissemination workshops</t>
  </si>
  <si>
    <t>Strengthen role of community based organisations (CBOs) in building an enabling environment</t>
  </si>
  <si>
    <t>Strategy 4.1: Conduct comprehensive surveillance to strengthen the capacity to respond</t>
  </si>
  <si>
    <t>1.4.1.3</t>
  </si>
  <si>
    <t xml:space="preserve">4.1.4 </t>
  </si>
  <si>
    <t>No. of districts mapped</t>
  </si>
  <si>
    <t>Guidelines were developed in 2010, but have not been updated</t>
  </si>
  <si>
    <t>Number of times per year HIV web based site for dissemination of HIV strategic information is updated</t>
  </si>
  <si>
    <t>Number of PLHIV enrolled in HIV care</t>
  </si>
  <si>
    <t>FSW</t>
  </si>
  <si>
    <t>MSW</t>
  </si>
  <si>
    <t>Hijra</t>
  </si>
  <si>
    <t>MSM</t>
  </si>
  <si>
    <t>Male PWID</t>
  </si>
  <si>
    <t>Female PWID</t>
  </si>
  <si>
    <t>Recruit/ appoint technical experts as per unit's need</t>
  </si>
  <si>
    <t>Sensitize service providers to the special needs of key populations, PLHIV and young people (linked with 1.4.3.4)</t>
  </si>
  <si>
    <t>Provide basic HIV prevention services for key populations  (BCC, condom/lubricants and NSE for PWID)</t>
  </si>
  <si>
    <t>Quality of HIV-related content needs to be ensured</t>
  </si>
  <si>
    <t>Street-based</t>
  </si>
  <si>
    <t>Institution-based (Juvenile home, Vagrant home etc.)</t>
  </si>
  <si>
    <t>No. of campaigns</t>
  </si>
  <si>
    <t>Conduct national vulnerability mapping study</t>
  </si>
  <si>
    <t xml:space="preserve">Produce annual program report </t>
  </si>
  <si>
    <t xml:space="preserve">Conduct annual meeting of NAC </t>
  </si>
  <si>
    <t xml:space="preserve">Develop core curriculum and training resources </t>
  </si>
  <si>
    <t>Programmes have their own referral mechanisms, but not harmonized</t>
  </si>
  <si>
    <t xml:space="preserve">Conduct regular serological and behavioural surveillance of all key populations </t>
  </si>
  <si>
    <t xml:space="preserve">Conduct national workshop to prioritize as well as  review existing  research /operations research /studies; develop annual national agenda for research </t>
  </si>
  <si>
    <t>Conduct mid-term and end-term evaluations</t>
  </si>
  <si>
    <t xml:space="preserve">Produce guidelines and tools </t>
  </si>
  <si>
    <t xml:space="preserve">Conduct quarterly M&amp;E TWG and coordination meetings </t>
  </si>
  <si>
    <t xml:space="preserve">Periodic review and updating of the M&amp;E system and its indicators in a participatory manner </t>
  </si>
  <si>
    <t xml:space="preserve">Advocacy and follow up meeting with the stakeholders  to ensure regular reporting as well as providing feedback </t>
  </si>
  <si>
    <t xml:space="preserve">M&amp;E training for staff across the sector </t>
  </si>
  <si>
    <t xml:space="preserve">Print and dissemination of National AIDS M&amp;E plan </t>
  </si>
  <si>
    <t xml:space="preserve">Develop, print and disseminate UNGASS/GARPR report every year </t>
  </si>
  <si>
    <t xml:space="preserve">Conduct National AIDS spending Survey (NASA), share  and use the findings accordingly </t>
  </si>
  <si>
    <t xml:space="preserve">Commission  secondary analysis,of data  triangulation  based on BSS and BDHS data and disseminate the findings </t>
  </si>
  <si>
    <t xml:space="preserve">Prepare evidence based policy and program briefs </t>
  </si>
  <si>
    <t>4.2.3</t>
  </si>
  <si>
    <t>4.4.1</t>
  </si>
  <si>
    <t>4.4.1.1</t>
  </si>
  <si>
    <t>4.4.1.2</t>
  </si>
  <si>
    <t xml:space="preserve">1.2.3 </t>
  </si>
  <si>
    <t>1.2.6.1</t>
  </si>
  <si>
    <t>1.2.6.2</t>
  </si>
  <si>
    <t>Implement basic HIV prevention services for non-injecting drug users</t>
  </si>
  <si>
    <t>Perform functional analysis of human resource needs to implement the national strategy</t>
  </si>
  <si>
    <t>Number of needles and syringes distributed</t>
  </si>
  <si>
    <t>Number of condoms distributed</t>
  </si>
  <si>
    <t xml:space="preserve">Interventions for vulnerable populations  </t>
  </si>
  <si>
    <t>Provide HTC services for key populations</t>
  </si>
  <si>
    <t>Measure-ment Unit</t>
  </si>
  <si>
    <t>Strengthen STI service provision and utlization</t>
  </si>
  <si>
    <t>Unit Rate $US</t>
  </si>
  <si>
    <t>Financial Total</t>
  </si>
  <si>
    <t>Brothel based FSW</t>
  </si>
  <si>
    <t>Assumptions</t>
  </si>
  <si>
    <t xml:space="preserve">Reference Costing: </t>
  </si>
  <si>
    <t>Street Based FSW</t>
  </si>
  <si>
    <t>Hotel &amp; residence based FSW</t>
  </si>
  <si>
    <t>1.2.6</t>
  </si>
  <si>
    <t xml:space="preserve">Sub-Total 1.4 </t>
  </si>
  <si>
    <t>Total: Objective 1</t>
  </si>
  <si>
    <t>Sub-Total: 1.3</t>
  </si>
  <si>
    <t>Sub-Total 1.2</t>
  </si>
  <si>
    <t>Sub-Total 1.1</t>
  </si>
  <si>
    <t xml:space="preserve"> </t>
  </si>
  <si>
    <t>Sub Total: 2.1</t>
  </si>
  <si>
    <t>Sub Total: 2.2</t>
  </si>
  <si>
    <t>Sub Total: 2.3</t>
  </si>
  <si>
    <t>Sub-total: 2.4</t>
  </si>
  <si>
    <t>Total: Objective 2</t>
  </si>
  <si>
    <t>Sub-Total: 3.1</t>
  </si>
  <si>
    <t>Sub-Total: 3.2</t>
  </si>
  <si>
    <t>Sub-Total: 3.3</t>
  </si>
  <si>
    <t>Sub-Total: 3.4</t>
  </si>
  <si>
    <t>Sub-Total: 3.5</t>
  </si>
  <si>
    <t>Sub-Total: 3.6</t>
  </si>
  <si>
    <t>Sub-Total: 3.7</t>
  </si>
  <si>
    <t>Sub-Total: 3.8</t>
  </si>
  <si>
    <t>Total: Objective- 3</t>
  </si>
  <si>
    <t>Sub-Total: 4.1</t>
  </si>
  <si>
    <t>Sub-Total: 4.2</t>
  </si>
  <si>
    <t>Sub-Total: 4.3</t>
  </si>
  <si>
    <t>Sub-Total: 4.4</t>
  </si>
  <si>
    <t>Total: Objective- 4</t>
  </si>
  <si>
    <t>Grand Total</t>
  </si>
  <si>
    <t>Sub-total: 1.1.1</t>
  </si>
  <si>
    <t>Sub-total: 1.1.2</t>
  </si>
  <si>
    <t>Sub-total: 1.1.3</t>
  </si>
  <si>
    <t>Reviewing the infrastructure for procurement, storage and distribution of essential drugs and other commodities (e.g. condoms/lubricant, reagents for HIV testing)</t>
  </si>
  <si>
    <t>Cost component</t>
  </si>
  <si>
    <t>Program component</t>
  </si>
  <si>
    <t>USD</t>
  </si>
  <si>
    <t>Behavior change</t>
  </si>
  <si>
    <t xml:space="preserve">Peer education </t>
  </si>
  <si>
    <t>Training of peer educators</t>
  </si>
  <si>
    <t>Condom and lubricant promotion</t>
  </si>
  <si>
    <t>PE remuneration</t>
  </si>
  <si>
    <t xml:space="preserve">Behavior change communication </t>
  </si>
  <si>
    <t>Outreach worker</t>
  </si>
  <si>
    <t xml:space="preserve">DIC services  </t>
  </si>
  <si>
    <t>DIC</t>
  </si>
  <si>
    <t>STI diagnosis and treatment</t>
  </si>
  <si>
    <t>IEC Events</t>
  </si>
  <si>
    <t>VCT</t>
  </si>
  <si>
    <t>Commodities</t>
  </si>
  <si>
    <t>Referral to health and other services</t>
  </si>
  <si>
    <t>Community mobilization</t>
  </si>
  <si>
    <t>Referral HTC and Rapid test</t>
  </si>
  <si>
    <t>STI services</t>
  </si>
  <si>
    <t>Enabling Environment</t>
  </si>
  <si>
    <t>Programme management</t>
  </si>
  <si>
    <t>Equipment, furniture DIC</t>
  </si>
  <si>
    <t>M+E (5%)</t>
  </si>
  <si>
    <t>Unit Cost / person / year</t>
  </si>
  <si>
    <t>Needle syringe exchange</t>
  </si>
  <si>
    <t>Injection related primary health care</t>
  </si>
  <si>
    <t>Protocol development</t>
  </si>
  <si>
    <t>Total</t>
  </si>
  <si>
    <t>Unit Cost</t>
  </si>
  <si>
    <t>Folder</t>
  </si>
  <si>
    <t>Poster</t>
  </si>
  <si>
    <t>Leaflets</t>
  </si>
  <si>
    <t>CD</t>
  </si>
  <si>
    <t xml:space="preserve">Food </t>
  </si>
  <si>
    <t>Cost Component</t>
  </si>
  <si>
    <t>Program Management</t>
  </si>
  <si>
    <t>Equipment, furniture</t>
  </si>
  <si>
    <t>Running costs IC/transport</t>
  </si>
  <si>
    <t>IEC/events</t>
  </si>
  <si>
    <t>STI treatment referral</t>
  </si>
  <si>
    <t>Enabling environment</t>
  </si>
  <si>
    <t>Unit Cost/person/year</t>
  </si>
  <si>
    <t>PE (incl. Training)</t>
  </si>
  <si>
    <t xml:space="preserve">• Peer education </t>
  </si>
  <si>
    <t xml:space="preserve">• Behavior change communication </t>
  </si>
  <si>
    <t>• Condom and lubricant promotion</t>
  </si>
  <si>
    <t>PHC incl. Satellite centers</t>
  </si>
  <si>
    <t>• Referral to health and other services</t>
  </si>
  <si>
    <t>Program management</t>
  </si>
  <si>
    <t>• Community mobilization</t>
  </si>
  <si>
    <t>• Assessment of services</t>
  </si>
  <si>
    <t>Assessment of services</t>
  </si>
  <si>
    <t>20 District jail with 20,000 inmates</t>
  </si>
  <si>
    <t>Programme Management</t>
  </si>
  <si>
    <t>Training</t>
  </si>
  <si>
    <t>Outreach worker/SV</t>
  </si>
  <si>
    <t>Investments</t>
  </si>
  <si>
    <t xml:space="preserve">Transport costs </t>
  </si>
  <si>
    <t>STI, HTC, ART/OI (PMTCT) referrals</t>
  </si>
  <si>
    <t>M&amp;E (5%)</t>
  </si>
  <si>
    <t>Assessment</t>
  </si>
  <si>
    <t>Lumpsum</t>
  </si>
  <si>
    <t>Equipment and logistics</t>
  </si>
  <si>
    <t>Technical assistance</t>
  </si>
  <si>
    <t>40 day consultancy/year</t>
  </si>
  <si>
    <t>lump sum</t>
  </si>
  <si>
    <t>Unit Cost/study</t>
  </si>
  <si>
    <t>Cost/intervention</t>
  </si>
  <si>
    <t>One day awareness session for each districts with 50 participants</t>
  </si>
  <si>
    <t>Required line items</t>
  </si>
  <si>
    <t>Unit</t>
  </si>
  <si>
    <t>Technical expert</t>
  </si>
  <si>
    <t>Per diem</t>
  </si>
  <si>
    <t>Training Materials</t>
  </si>
  <si>
    <t>Venue &amp; public address  system</t>
  </si>
  <si>
    <t>Food</t>
  </si>
  <si>
    <t>Banner</t>
  </si>
  <si>
    <t>A protocol will be developed and printed based on other low prevalence settings. A phone service for local service providers to seek advice will be established at a hospital HIV specialist unit (or other agency able to provide the necessary expertise). Calls will be triaged on the basis of general enquiry or real/ potential exposure. Costing will be revised based on usage patterns. A doctor will provide advice to local service provider on initiation of PEP and ongoing management.</t>
  </si>
  <si>
    <t>Telephone helpline</t>
  </si>
  <si>
    <t>Advice / Support services</t>
  </si>
  <si>
    <t>Cost/year</t>
  </si>
  <si>
    <t xml:space="preserve">Basic STI awareness and the availability of services included in BCC for general population and specific target populations. </t>
  </si>
  <si>
    <t>Consultant</t>
  </si>
  <si>
    <t>Cost</t>
  </si>
  <si>
    <t>Training materials</t>
  </si>
  <si>
    <t>Others</t>
  </si>
  <si>
    <t>One tertiary center at district level will be supported with equipment and other logistics</t>
  </si>
  <si>
    <t>Cost/center</t>
  </si>
  <si>
    <t>50 days</t>
  </si>
  <si>
    <t>1 day inception and annual 1day refresher training provided to staff involved in collection of blood at selected sites, 100 trained / district</t>
  </si>
  <si>
    <t>Cost/districts</t>
  </si>
  <si>
    <t>ARV</t>
  </si>
  <si>
    <t>New patients</t>
  </si>
  <si>
    <t>Continued patients</t>
  </si>
  <si>
    <t>1st line</t>
  </si>
  <si>
    <t>2nd line</t>
  </si>
  <si>
    <t>Cost of monitoring, 1st year</t>
  </si>
  <si>
    <t>Cost of monitoring, cont.</t>
  </si>
  <si>
    <t>Training/year</t>
  </si>
  <si>
    <t>Adherence/year</t>
  </si>
  <si>
    <t>Mgt/coordination/year</t>
  </si>
  <si>
    <t>The model do not include mortality or discontinuation among the clients receiving ARV (overestimation)</t>
  </si>
  <si>
    <t>Cost/ patient</t>
  </si>
  <si>
    <t xml:space="preserve">Quarterly New letter </t>
  </si>
  <si>
    <t>Secretarial support</t>
  </si>
  <si>
    <t>TOTAL ART</t>
  </si>
  <si>
    <t>Cost/patient</t>
  </si>
  <si>
    <t>Capacity building</t>
  </si>
  <si>
    <t xml:space="preserve">      Int. training (1/year)</t>
  </si>
  <si>
    <t xml:space="preserve">      Local training (2/year)</t>
  </si>
  <si>
    <t>Logistics</t>
  </si>
  <si>
    <t>Equipments</t>
  </si>
  <si>
    <t>Medicine</t>
  </si>
  <si>
    <t xml:space="preserve">Total </t>
  </si>
  <si>
    <t>Cost/center/year</t>
  </si>
  <si>
    <t>Consultation workshop</t>
  </si>
  <si>
    <t>Curriculum development - consultancy</t>
  </si>
  <si>
    <t>Workshops</t>
  </si>
  <si>
    <t>Quarterly meeting</t>
  </si>
  <si>
    <t>Cost/meeting</t>
  </si>
  <si>
    <t>Maintenance</t>
  </si>
  <si>
    <t>3 days training, 20 person</t>
  </si>
  <si>
    <t>Care kits</t>
  </si>
  <si>
    <t>Cost/person</t>
  </si>
  <si>
    <t>In addition to training for implementation of care and support, training will also be provided on programme management, finance and M&amp;E</t>
  </si>
  <si>
    <t>Unit Required</t>
  </si>
  <si>
    <t>Office Equipment:</t>
  </si>
  <si>
    <t>Computer with UPS</t>
  </si>
  <si>
    <t>Printer &amp; cartridge</t>
  </si>
  <si>
    <t>Mobile/telephone</t>
  </si>
  <si>
    <t>DVD player</t>
  </si>
  <si>
    <t>Television</t>
  </si>
  <si>
    <t>Water filter</t>
  </si>
  <si>
    <t>Weight Machine</t>
  </si>
  <si>
    <t xml:space="preserve">Drop in games 1 set </t>
  </si>
  <si>
    <t>Sub Total</t>
  </si>
  <si>
    <t>Furniture &amp; Fixtures :</t>
  </si>
  <si>
    <t>File Cabinet steel</t>
  </si>
  <si>
    <t>Shelf (wooden)</t>
  </si>
  <si>
    <t>Almirah steel</t>
  </si>
  <si>
    <t>Conference Table 1</t>
  </si>
  <si>
    <t>Executive Table</t>
  </si>
  <si>
    <t>Revolving chair</t>
  </si>
  <si>
    <t xml:space="preserve">Armless chair </t>
  </si>
  <si>
    <t>Computer Table &amp; chair</t>
  </si>
  <si>
    <t>TV &amp; DVD stand</t>
  </si>
  <si>
    <t xml:space="preserve">Display Board &amp; Others </t>
  </si>
  <si>
    <t>Utensils 1</t>
  </si>
  <si>
    <t>Patient bed</t>
  </si>
  <si>
    <t>Spot light</t>
  </si>
  <si>
    <t>BP machine &amp; stethoscope</t>
  </si>
  <si>
    <t xml:space="preserve">Autoclaves </t>
  </si>
  <si>
    <t>Medicine Trolley</t>
  </si>
  <si>
    <t>Curtain</t>
  </si>
  <si>
    <t>Stares</t>
  </si>
  <si>
    <t>Screen</t>
  </si>
  <si>
    <t>Wall Clock</t>
  </si>
  <si>
    <t>Light</t>
  </si>
  <si>
    <t>Fan</t>
  </si>
  <si>
    <t>Cost/DIC</t>
  </si>
  <si>
    <t xml:space="preserve">Rent and  utilities cost of DIC </t>
  </si>
  <si>
    <t>Office Rent</t>
  </si>
  <si>
    <t>Mobile bill</t>
  </si>
  <si>
    <t>Postage</t>
  </si>
  <si>
    <t>E-Mail</t>
  </si>
  <si>
    <t>Utilities (Electricity, Gas &amp; WASA)</t>
  </si>
  <si>
    <t xml:space="preserve">Photocopy and Printing </t>
  </si>
  <si>
    <t>Stationery and Office supplies</t>
  </si>
  <si>
    <t>Maintanance / Reparing</t>
  </si>
  <si>
    <t>Cleaning supplies</t>
  </si>
  <si>
    <t>Library(News paper, magazine &amp; HIV related documents collections.</t>
  </si>
  <si>
    <t>Conveyance</t>
  </si>
  <si>
    <t xml:space="preserve">Others </t>
  </si>
  <si>
    <t>Identify and recruit staff for DIC</t>
  </si>
  <si>
    <t>DIC Manager</t>
  </si>
  <si>
    <t>Counselor</t>
  </si>
  <si>
    <t xml:space="preserve">Program Assistant / Outreach Supervisor </t>
  </si>
  <si>
    <t>Peer educator</t>
  </si>
  <si>
    <t>Peon/Aya</t>
  </si>
  <si>
    <t xml:space="preserve">Security guard </t>
  </si>
  <si>
    <t>Cost/DIC/year</t>
  </si>
  <si>
    <t xml:space="preserve">Venue </t>
  </si>
  <si>
    <t>Materials</t>
  </si>
  <si>
    <t>Report development 1000 copies</t>
  </si>
  <si>
    <t>Printing</t>
  </si>
  <si>
    <t>Equipments for NASP</t>
  </si>
  <si>
    <t>Office equipment</t>
  </si>
  <si>
    <t>Multimedia</t>
  </si>
  <si>
    <t>Scanner</t>
  </si>
  <si>
    <t>Photocopier</t>
  </si>
  <si>
    <t>Air Conditioner</t>
  </si>
  <si>
    <t>Computer Table</t>
  </si>
  <si>
    <t>Secretarial Table</t>
  </si>
  <si>
    <t>File Cabinet</t>
  </si>
  <si>
    <t>Total Cost</t>
  </si>
  <si>
    <t>Rent, utilities and supplies</t>
  </si>
  <si>
    <t>Total cost</t>
  </si>
  <si>
    <t>Printing Document</t>
  </si>
  <si>
    <t>Certige</t>
  </si>
  <si>
    <t>Courier Charge</t>
  </si>
  <si>
    <t>Cost/Congress</t>
  </si>
  <si>
    <t>Local health authority (Civil Surgeon) will organize regular quarterly coordination meeting with implementing agency, there will be M&amp;E visit and yearly planning and review workshop with stakeholders. The local health authority will be supported by a local agency.</t>
  </si>
  <si>
    <t>Quarterly coordination meeting - 25 participants, 4/year</t>
  </si>
  <si>
    <t>M&amp;E visit</t>
  </si>
  <si>
    <t>Perdiem</t>
  </si>
  <si>
    <t>M&amp;E visit Cost / Year (4 visit)</t>
  </si>
  <si>
    <t>Cost / district / year</t>
  </si>
  <si>
    <t>Folders</t>
  </si>
  <si>
    <t>Leaflet</t>
  </si>
  <si>
    <t>Program Brief</t>
  </si>
  <si>
    <t>Cost / advocacy material package</t>
  </si>
  <si>
    <t>Cost / person</t>
  </si>
  <si>
    <t>Four advocacy events with twenty five participants per year per district (64 districts)</t>
  </si>
  <si>
    <t>Stationery</t>
  </si>
  <si>
    <t>T-Shirt</t>
  </si>
  <si>
    <t>Festoon</t>
  </si>
  <si>
    <t>Social Mobilizing Campaign</t>
  </si>
  <si>
    <t>Workshop</t>
  </si>
  <si>
    <t>Cost/ministry/year</t>
  </si>
  <si>
    <t>Technical support interms of consultancy, planning and implementation inputs will be provided as per strategy development. Lumsum $ 300,000 costed</t>
  </si>
  <si>
    <t xml:space="preserve">This will involve reviewing existing Curriculum and resources in Bangladesh and from overseas and assessing gaps against the functional analysis (3.6.1). Based on this gap analysis curriculum and resources will be developed. It is proposed that initially 4 consultants are employed corresponding to the areas of prevention, treatment, management/coordination and strategic information. On the basis of the gap analysis consultants will be employed for the development of curriculum and resources. An allocation of 60 days each has been made for this second stage. </t>
  </si>
  <si>
    <t>Gap analysis in 4 programme objective - consultancy 30 days in each area</t>
  </si>
  <si>
    <t>Development of curriculum and resources - consultancy 60 days in each area</t>
  </si>
  <si>
    <t>Production cost</t>
  </si>
  <si>
    <t>Training costs are included under specific strategies</t>
  </si>
  <si>
    <t>The activity includes development of training protocol and materials, production of materials and provide training to respective persons. Total 800 person will be trained</t>
  </si>
  <si>
    <t>Air fare</t>
  </si>
  <si>
    <t>Costs of curriculum and training materials under 3.6.2. Training will be mainstreamed. Training of 200 master trainers annually through 5 day workshop (unit cost $134)</t>
  </si>
  <si>
    <t>Unit cost / person</t>
  </si>
  <si>
    <t>Costing included under 3.7.1.1</t>
  </si>
  <si>
    <t>reviewing the infrastructure for procurement, storage and distribution of essential drugs and other commodities (e.g. condoms/lubricant, reagents for HIV testing</t>
  </si>
  <si>
    <t>Costings under 3.7.1.1</t>
  </si>
  <si>
    <t>1 CD4 machine</t>
  </si>
  <si>
    <t>Consultant to develop training kit on shared care, including referral methodologies</t>
  </si>
  <si>
    <t>Referral procedure to be developed at local level and at specialist service level</t>
  </si>
  <si>
    <t>Production costs</t>
  </si>
  <si>
    <t>4 person per CBO - 100 CBOs</t>
  </si>
  <si>
    <t>Unit cost/person</t>
  </si>
  <si>
    <t xml:space="preserve">5 positions (IDU, SW, MSM, Hijra, PLHIV) </t>
  </si>
  <si>
    <t>Support to CBOs</t>
  </si>
  <si>
    <t>2 person per CBO - 100 CBOs</t>
  </si>
  <si>
    <t>consultant to develop standard</t>
  </si>
  <si>
    <t>Cost/study</t>
  </si>
  <si>
    <t xml:space="preserve">Cost </t>
  </si>
  <si>
    <t>Consultant fee</t>
  </si>
  <si>
    <t>Workshop / meeting</t>
  </si>
  <si>
    <t>Cost / workshop</t>
  </si>
  <si>
    <t>Cost/visit</t>
  </si>
  <si>
    <t>Cost / year</t>
  </si>
  <si>
    <t>Printing and dissemination</t>
  </si>
  <si>
    <t>Cost / survey</t>
  </si>
  <si>
    <t>2 follow up study each of BBS and BDHS</t>
  </si>
  <si>
    <t>2 times</t>
  </si>
  <si>
    <t>Cost / study</t>
  </si>
  <si>
    <t>One day workshop/100 participant per workshop</t>
  </si>
  <si>
    <t>Develop and maintain functional HIV treatment and management task force</t>
  </si>
  <si>
    <t>Set up support</t>
  </si>
  <si>
    <t>Running support</t>
  </si>
  <si>
    <t>No. of CBO/year supported</t>
  </si>
  <si>
    <t>2.4.2.2.1</t>
  </si>
  <si>
    <t>2.4.2.2.2</t>
  </si>
  <si>
    <t>Ensuring comprehensive protocols and procedures have been and are being developed</t>
  </si>
  <si>
    <t>Improving management systems and human resource capacity</t>
  </si>
  <si>
    <t>One national workshop with fifty participants</t>
  </si>
  <si>
    <t>GRAND TOTAL</t>
  </si>
  <si>
    <t>PEP Starter Kits</t>
  </si>
  <si>
    <t>1 day refresher cost</t>
  </si>
  <si>
    <t>1 day inception cost for 100 participant</t>
  </si>
  <si>
    <t xml:space="preserve">Remarks </t>
  </si>
  <si>
    <t>Inflation Rate</t>
  </si>
  <si>
    <t xml:space="preserve">Unit Cost / piece of condom </t>
  </si>
  <si>
    <t>Unit Cost / person</t>
  </si>
  <si>
    <t>Total estimate: 48900.  40% of the high size est (32484 for MSW)</t>
  </si>
  <si>
    <t>Total estimate: 16150.  50% of the high size est (8882 for Hijra)</t>
  </si>
  <si>
    <t>Total estimate: 32060.  10% of the high size est (110581 for MSM)</t>
  </si>
  <si>
    <t>Total estimate: 34900.  60% of the high size est (23800 for Male PWID)</t>
  </si>
  <si>
    <t>Total estimate: 2220.  50% of inofficial size est of 1440</t>
  </si>
  <si>
    <t>Total estimate: 6900 male PWID and 420 female PWID - high estimate (Population Size Estimation of MARPs in Bangladesh, NASP, 2009)</t>
  </si>
  <si>
    <t>Personnel cost</t>
  </si>
  <si>
    <t>Training of the research team</t>
  </si>
  <si>
    <t>Travel cost per study</t>
  </si>
  <si>
    <t>Supplies per study</t>
  </si>
  <si>
    <t>Equipment</t>
  </si>
  <si>
    <t>Workshop Venue and sound system</t>
  </si>
  <si>
    <t xml:space="preserve">Personnel </t>
  </si>
  <si>
    <t>Travel</t>
  </si>
  <si>
    <t>Office supplies</t>
  </si>
  <si>
    <t>Interdepartmental</t>
  </si>
  <si>
    <t xml:space="preserve">Communication, courier, photocopy, training, training material etc. </t>
  </si>
  <si>
    <t>Airing TV spots (12 months airing)</t>
  </si>
  <si>
    <t>Develop of TV spots</t>
  </si>
  <si>
    <t xml:space="preserve">Unit cost means One time (with 60 Second duration) each day , 15 day's in a month for 12 months cost </t>
  </si>
  <si>
    <t>Consumables for VCT centre</t>
  </si>
  <si>
    <t>Vacationer tube (100/pack), plain</t>
  </si>
  <si>
    <t>Syringe 5cc</t>
  </si>
  <si>
    <t>Serum separation pipette</t>
  </si>
  <si>
    <t>Eppendrop tube</t>
  </si>
  <si>
    <t>Label Zip Sticker</t>
  </si>
  <si>
    <t>Masking tape 2"</t>
  </si>
  <si>
    <t>Disposable gloves (100/pack)</t>
  </si>
  <si>
    <t>Sodium Hypochlorite,  4 Liter</t>
  </si>
  <si>
    <t>Chlorhexidine Glucunate, 250 ml</t>
  </si>
  <si>
    <t>Cotton medium 200 gm</t>
  </si>
  <si>
    <t>Liquid soap</t>
  </si>
  <si>
    <t>Aluminum foil</t>
  </si>
  <si>
    <t>Magic tape with holder</t>
  </si>
  <si>
    <t>Permanent marker</t>
  </si>
  <si>
    <t>Toilet tissue</t>
  </si>
  <si>
    <t>Band-Aid</t>
  </si>
  <si>
    <t>Medical technologists</t>
  </si>
  <si>
    <t>Per Month</t>
  </si>
  <si>
    <t>Per Person-Per Month</t>
  </si>
  <si>
    <t>Sub total- Consumable</t>
  </si>
  <si>
    <t>per month</t>
  </si>
  <si>
    <t xml:space="preserve">Test Name (ELISA, WB) </t>
  </si>
  <si>
    <t>External quality assessment</t>
  </si>
  <si>
    <t>Sub total - External quality assessment</t>
  </si>
  <si>
    <t xml:space="preserve">Service Management Cost </t>
  </si>
  <si>
    <t xml:space="preserve">Sub total - Service Management Cost </t>
  </si>
  <si>
    <t>Assuming per month 10 person from each center will be referred  for confirmatory test</t>
  </si>
  <si>
    <t xml:space="preserve">Measurement unit </t>
  </si>
  <si>
    <t>Cost / participants</t>
  </si>
  <si>
    <t xml:space="preserve">650 PEP packages (10 / districts) will be stored across districts. Costing based on 1 month first line ARV provision. US$ 87.5 / PEP packages for full course of 28 days.  </t>
  </si>
  <si>
    <t xml:space="preserve">per day cost </t>
  </si>
  <si>
    <t>Transportation Cost</t>
  </si>
  <si>
    <t>lumsum</t>
  </si>
  <si>
    <t>To be included with 1.4.3.4. No additional budget allocation</t>
  </si>
  <si>
    <t xml:space="preserve"># of Copies </t>
  </si>
  <si>
    <t>Basic- 5000 copies</t>
  </si>
  <si>
    <t xml:space="preserve">Detailed 100 Pages 1000 copies </t>
  </si>
  <si>
    <t>Travel Cost</t>
  </si>
  <si>
    <t>Consultancy fee</t>
  </si>
  <si>
    <t>Subtotal- Local Consultant</t>
  </si>
  <si>
    <t>Air Ticket</t>
  </si>
  <si>
    <t>Accommodation</t>
  </si>
  <si>
    <t>Incidental</t>
  </si>
  <si>
    <t>Subtotal- International Consultant</t>
  </si>
  <si>
    <t>Local consultant (50 Days)</t>
  </si>
  <si>
    <t>Int. consultant (20 days)</t>
  </si>
  <si>
    <t xml:space="preserve">Return ticket once </t>
  </si>
  <si>
    <t>per batch cost</t>
  </si>
  <si>
    <t>The activity will be linked with development of Professional Society (2.3.4) and ART training (2.2.1). An initial database will be developed and maintained, quarterly newsletter will be published.</t>
  </si>
  <si>
    <t>Per piece cost</t>
  </si>
  <si>
    <t xml:space="preserve">lumpsum </t>
  </si>
  <si>
    <t xml:space="preserve">per peson </t>
  </si>
  <si>
    <t>Local consultant (60 Days)</t>
  </si>
  <si>
    <t>Int. consultant (10 days)</t>
  </si>
  <si>
    <t>per workshop cost</t>
  </si>
  <si>
    <t>4 workshop with 50 person in each session</t>
  </si>
  <si>
    <t xml:space="preserve"> 2 workshop with 50 person in each session</t>
  </si>
  <si>
    <t>Meeting cost</t>
  </si>
  <si>
    <t>Web Page development</t>
  </si>
  <si>
    <t>Web Page maintenance</t>
  </si>
  <si>
    <t>rent</t>
  </si>
  <si>
    <t>utility</t>
  </si>
  <si>
    <t>Local consultant (45 Days)</t>
  </si>
  <si>
    <t>4 workshop with 20 person in each session</t>
  </si>
  <si>
    <t>Venue &amp; public address system</t>
  </si>
  <si>
    <t>Food ( Workshop)</t>
  </si>
  <si>
    <t>Per-diem including Accommodation</t>
  </si>
  <si>
    <t>Training Materials &amp; Logistics:</t>
  </si>
  <si>
    <t>Printing ( Photograph, documents)</t>
  </si>
  <si>
    <t>Resource Person</t>
  </si>
  <si>
    <t>Per Day</t>
  </si>
  <si>
    <t>Per Person-Per Day</t>
  </si>
  <si>
    <t>Per Person</t>
  </si>
  <si>
    <t xml:space="preserve">per session </t>
  </si>
  <si>
    <t>This has been costed as a consultant for 7 days in each division. Alternatively, funding could be provided to Positive support groups. The advantage of this would be ease of updating as services change.</t>
  </si>
  <si>
    <t xml:space="preserve">7 days in each division </t>
  </si>
  <si>
    <t xml:space="preserve">3 day travel for each division </t>
  </si>
  <si>
    <t>Pcs</t>
  </si>
  <si>
    <t xml:space="preserve">per month cost </t>
  </si>
  <si>
    <t>per person per month</t>
  </si>
  <si>
    <t>Transport cost</t>
  </si>
  <si>
    <t>per trip</t>
  </si>
  <si>
    <t>Cost / 1000 copies</t>
  </si>
  <si>
    <t>Computer</t>
  </si>
  <si>
    <t>Laptop</t>
  </si>
  <si>
    <t>UPS</t>
  </si>
  <si>
    <t>UPS Battery ( 500 W)</t>
  </si>
  <si>
    <t xml:space="preserve">Printer network </t>
  </si>
  <si>
    <t>Fax Machine</t>
  </si>
  <si>
    <t>Intercom</t>
  </si>
  <si>
    <t>Sound system</t>
  </si>
  <si>
    <t>LAN Set up</t>
  </si>
  <si>
    <t xml:space="preserve">IPS </t>
  </si>
  <si>
    <t xml:space="preserve">IPS Battery </t>
  </si>
  <si>
    <t>Furniture :</t>
  </si>
  <si>
    <t>Book shelf</t>
  </si>
  <si>
    <t>Office  supplies and maintenance</t>
  </si>
  <si>
    <t>Mobile Bill</t>
  </si>
  <si>
    <t>Local conveyance</t>
  </si>
  <si>
    <t>IPS Maintenance cost</t>
  </si>
  <si>
    <t>Monthly</t>
  </si>
  <si>
    <t>Yearly</t>
  </si>
  <si>
    <t>Cost/ month</t>
  </si>
  <si>
    <t>Per month salary</t>
  </si>
  <si>
    <t>Transport cost (outside Dhaka)</t>
  </si>
  <si>
    <t>Transport cost (inside Dhaka)</t>
  </si>
  <si>
    <t>Materials for participants (pen, handout etc)</t>
  </si>
  <si>
    <t>Venue and Public Address System</t>
  </si>
  <si>
    <t>Per Event</t>
  </si>
  <si>
    <t>10 workshop with 20 person in each session</t>
  </si>
  <si>
    <t>Stationery (pen, pad, markers, flip paper)</t>
  </si>
  <si>
    <t>Other organizing cost (Banner, transportation)</t>
  </si>
  <si>
    <t>Per person</t>
  </si>
  <si>
    <t>times</t>
  </si>
  <si>
    <t xml:space="preserve">For Central Level </t>
  </si>
  <si>
    <t>Rally Sun Cap</t>
  </si>
  <si>
    <t>Stall rent</t>
  </si>
  <si>
    <t xml:space="preserve">Printing poster </t>
  </si>
  <si>
    <t>Rally banner</t>
  </si>
  <si>
    <t xml:space="preserve">Stationeries for booth set up </t>
  </si>
  <si>
    <t>Gift items</t>
  </si>
  <si>
    <t xml:space="preserve">Refreshment cost for Preparatory meeting </t>
  </si>
  <si>
    <t>Communicaion cost</t>
  </si>
  <si>
    <t>Refreshment for Rally participants</t>
  </si>
  <si>
    <t>Transportation</t>
  </si>
  <si>
    <t>Local level coordination with GOB</t>
  </si>
  <si>
    <t>Observe World AIDS Day and Human Rights Day events at national and district level</t>
  </si>
  <si>
    <t xml:space="preserve"> Sub Total </t>
  </si>
  <si>
    <t>total Cost/ Event</t>
  </si>
  <si>
    <t>Local consultant (40 Days)</t>
  </si>
  <si>
    <t>4 workshop with 25 person in each session</t>
  </si>
  <si>
    <t>15 workshop with 20 person in each session</t>
  </si>
  <si>
    <t>Cost per TA</t>
  </si>
  <si>
    <t>Local consultant (40 Days for 4 areas each)</t>
  </si>
  <si>
    <t>cost per copy</t>
  </si>
  <si>
    <t xml:space="preserve">Total Cost </t>
  </si>
  <si>
    <t>Course fee</t>
  </si>
  <si>
    <t>Out country training - 10 person will be trained</t>
  </si>
  <si>
    <t xml:space="preserve">Cost per person </t>
  </si>
  <si>
    <t>Out country training - 5 person will be trained</t>
  </si>
  <si>
    <t xml:space="preserve">3 days training for 100 CBO members  </t>
  </si>
  <si>
    <t>cost</t>
  </si>
  <si>
    <t>Food &amp; Refreshment</t>
  </si>
  <si>
    <t>per person</t>
  </si>
  <si>
    <t xml:space="preserve">Total 72 visit </t>
  </si>
  <si>
    <t>CBO Organizer</t>
  </si>
  <si>
    <t>Salary Support per month</t>
  </si>
  <si>
    <t>Office Rent including utilities</t>
  </si>
  <si>
    <t>Office Supplies, stationery and others</t>
  </si>
  <si>
    <t>Coordination ( meeting ,etc)</t>
  </si>
  <si>
    <t>cost /CBO per annum</t>
  </si>
  <si>
    <t xml:space="preserve">Serological Surveillance </t>
  </si>
  <si>
    <t>Cost/Year</t>
  </si>
  <si>
    <t xml:space="preserve">Transportation </t>
  </si>
  <si>
    <t>Cost/ year</t>
  </si>
  <si>
    <t xml:space="preserve">Printing </t>
  </si>
  <si>
    <t>Inter- departmental</t>
  </si>
  <si>
    <t>Orientation</t>
  </si>
  <si>
    <t>Cost/ Workshop</t>
  </si>
  <si>
    <t>Cost / Study</t>
  </si>
  <si>
    <t xml:space="preserve">Cost/ Year </t>
  </si>
  <si>
    <t xml:space="preserve">Cost/ Review </t>
  </si>
  <si>
    <t xml:space="preserve">Dissemination Meeting </t>
  </si>
  <si>
    <t>Local Transport</t>
  </si>
  <si>
    <t>Per Person Cost</t>
  </si>
  <si>
    <t>3 person in each team</t>
  </si>
  <si>
    <t>Local consultant (100 Days)</t>
  </si>
  <si>
    <t>Lumsum</t>
  </si>
  <si>
    <t>4 workshop with 30 person in each session</t>
  </si>
  <si>
    <t>Local consultant (10 Days)</t>
  </si>
  <si>
    <t>1 workshop with 30 person in each session</t>
  </si>
  <si>
    <t>Local consultant (30 Days)</t>
  </si>
  <si>
    <t xml:space="preserve">Program Component </t>
  </si>
  <si>
    <t>per pcs</t>
  </si>
  <si>
    <t xml:space="preserve"> Cost/ Meeting</t>
  </si>
  <si>
    <t>Total cost /visit</t>
  </si>
  <si>
    <t xml:space="preserve">Once </t>
  </si>
  <si>
    <t>per patient Cost</t>
  </si>
  <si>
    <t xml:space="preserve"> Per year </t>
  </si>
  <si>
    <t>Summary Budget</t>
  </si>
  <si>
    <t>Facilitator Honorarium</t>
  </si>
  <si>
    <t>Total Cost/ workshop</t>
  </si>
  <si>
    <t>Cost of 2 workshops</t>
  </si>
  <si>
    <t>Unit cost means One script develop, production , Censorship cost</t>
  </si>
  <si>
    <t>Cost/workshop/ district</t>
  </si>
  <si>
    <t>Local consultant (90 Days)</t>
  </si>
  <si>
    <t>per person cost</t>
  </si>
  <si>
    <t>Total cost / districts</t>
  </si>
  <si>
    <t>Subtotal - Personnel cost</t>
  </si>
  <si>
    <t xml:space="preserve"> Cost/ Center/ year</t>
  </si>
  <si>
    <t>Cost/ Center/ month</t>
  </si>
  <si>
    <t xml:space="preserve">Management Cost </t>
  </si>
  <si>
    <t>Management Cost is considered 25%</t>
  </si>
  <si>
    <t>Management Cost</t>
  </si>
  <si>
    <t>Cost/ study</t>
  </si>
  <si>
    <t>Workshop Venue</t>
  </si>
  <si>
    <t>Times</t>
  </si>
  <si>
    <t>1 day orientation with 25 participants</t>
  </si>
  <si>
    <t>Cost/person/year</t>
  </si>
  <si>
    <t xml:space="preserve">Design workshops with stakeholders </t>
  </si>
  <si>
    <t>2 workshop with 50 participants- 25 person in each workshop</t>
  </si>
  <si>
    <t>Cost/TV spot</t>
  </si>
  <si>
    <t>Cost/ center/year</t>
  </si>
  <si>
    <t>Cost/ TA</t>
  </si>
  <si>
    <t xml:space="preserve">SubTotal - Printing  </t>
  </si>
  <si>
    <t>Lump sum</t>
  </si>
  <si>
    <t xml:space="preserve">Development of protocols for PMTCT. Total 7 protocol will be developed that will cover all aspects of management of pregnant PLHIV and post natal care of mother and child etc. </t>
  </si>
  <si>
    <t xml:space="preserve">Printing of protocol </t>
  </si>
  <si>
    <t>10 working day for each 7 protocols</t>
  </si>
  <si>
    <t>Local consultant (70 Days)</t>
  </si>
  <si>
    <t>Total cost_developent of protocol</t>
  </si>
  <si>
    <t xml:space="preserve">Total cost </t>
  </si>
  <si>
    <t>Printing Cost</t>
  </si>
  <si>
    <t xml:space="preserve">Development of ART protocol. </t>
  </si>
  <si>
    <t>Cost/ Protocol</t>
  </si>
  <si>
    <t>Cost/TA</t>
  </si>
  <si>
    <t>Printing cost</t>
  </si>
  <si>
    <t>Total Cost/ Training session</t>
  </si>
  <si>
    <t>Cost/ strategy</t>
  </si>
  <si>
    <t>Material printing</t>
  </si>
  <si>
    <t xml:space="preserve">Toal </t>
  </si>
  <si>
    <t>cost/person</t>
  </si>
  <si>
    <t xml:space="preserve">Cost/ guideline </t>
  </si>
  <si>
    <t xml:space="preserve">Cost/ assessment </t>
  </si>
  <si>
    <t>Cost/ times support</t>
  </si>
  <si>
    <t>Total Cost/ TA</t>
  </si>
  <si>
    <t>Total cost/TA</t>
  </si>
  <si>
    <t xml:space="preserve">Total 150 person will be trained in 6 bacthes. Each training session will be 3-days. </t>
  </si>
  <si>
    <t xml:space="preserve">Total cost/ session </t>
  </si>
  <si>
    <t>3 days training for 100 CBO members . Total 4 batch @ 25 person/ batch</t>
  </si>
  <si>
    <t>2 days training for 100 CBO members . Toal 4 batch @ 25 person/ batch</t>
  </si>
  <si>
    <t>Total cost for 1 batch</t>
  </si>
  <si>
    <t>Total cost for 4 batch</t>
  </si>
  <si>
    <t>Cost / Needle &amp; Syringe</t>
  </si>
  <si>
    <t>Cost/package</t>
  </si>
  <si>
    <t>Total Cost per batch</t>
  </si>
  <si>
    <t xml:space="preserve">Material printing </t>
  </si>
  <si>
    <t>500 copy of each protocol</t>
  </si>
  <si>
    <t>Return ticket</t>
  </si>
  <si>
    <t>Coordination/year</t>
  </si>
  <si>
    <t>Management cost</t>
  </si>
  <si>
    <t>TOTAL training Cost - 1 batch</t>
  </si>
  <si>
    <t xml:space="preserve">Subtotal - rent and utilities </t>
  </si>
  <si>
    <t>Subtotal- salary of DIC staff</t>
  </si>
  <si>
    <t>Sub Total - Office equipment</t>
  </si>
  <si>
    <t>Sub Total -Furniture</t>
  </si>
  <si>
    <t>Ten national advocacy events per year. Fifty participants will attend per advocacy events</t>
  </si>
  <si>
    <t>Screening, identification and provide PMTCT services to HIV+ pregnant women</t>
  </si>
  <si>
    <t>An accurate costing of upgrading laboratories, and the number of laboratories needed cant be assessed until a proper review. However a CD4 machine costs approximately $40,300 and an allowance has been made for a CD4 machine in each division. An additional tentative allowance for purchase of other equipment. 30 districts will be covered</t>
  </si>
  <si>
    <t xml:space="preserve">Cost/visit </t>
  </si>
  <si>
    <t>Cost/ meeting</t>
  </si>
  <si>
    <t xml:space="preserve">One day meeing @ 50 participant </t>
  </si>
  <si>
    <t xml:space="preserve">BDT </t>
  </si>
  <si>
    <t>Exchange rate</t>
  </si>
  <si>
    <t xml:space="preserve">1 USD </t>
  </si>
  <si>
    <t>BDT</t>
  </si>
  <si>
    <t>Total Amount (USD)</t>
  </si>
  <si>
    <t>Total Amount (BDT)</t>
  </si>
  <si>
    <t>Cost of Intervention test per study including STI test</t>
  </si>
  <si>
    <t>Unit cost (USD)</t>
  </si>
  <si>
    <r>
      <t>Exchange rate:</t>
    </r>
    <r>
      <rPr>
        <sz val="10"/>
        <rFont val="Arial"/>
        <family val="2"/>
      </rPr>
      <t xml:space="preserve"> $US1 = 77 BDT</t>
    </r>
  </si>
  <si>
    <t>Costed Implementation Plan</t>
  </si>
  <si>
    <t>Programmatic</t>
  </si>
  <si>
    <t xml:space="preserve">in USD </t>
  </si>
  <si>
    <t>quarterly meeting</t>
  </si>
  <si>
    <t>Financial (USD)</t>
  </si>
  <si>
    <t>Financial Total (USD)</t>
  </si>
  <si>
    <t>1.2.2.4</t>
  </si>
  <si>
    <t>1.2.2.5</t>
  </si>
  <si>
    <t>1.2.2.6</t>
  </si>
  <si>
    <t xml:space="preserve">Training of master trainers and peer educators </t>
  </si>
  <si>
    <t>Community led LSE session</t>
  </si>
  <si>
    <t>Five advocacy events with twenty participants per year per upazilla / DIC (450 Upzilla) @ 20 person per event</t>
  </si>
  <si>
    <t>Training Materials &amp; Logistics</t>
  </si>
  <si>
    <t>3 days Master Trainers' training, 15 person / district</t>
  </si>
  <si>
    <t>TOTAL Cost</t>
  </si>
  <si>
    <t xml:space="preserve"># of district </t>
  </si>
  <si>
    <t>Cost/ District</t>
  </si>
  <si>
    <t>1.3.3</t>
  </si>
  <si>
    <t>1.3.4</t>
  </si>
  <si>
    <t>1.3.5</t>
  </si>
  <si>
    <t xml:space="preserve">No. of materials </t>
  </si>
  <si>
    <t>Update/ develop of training material on LSE for Vulnerable Young People</t>
  </si>
  <si>
    <t>Local consultant (15 Days)</t>
  </si>
  <si>
    <t>15 day consultancy/year</t>
  </si>
  <si>
    <t xml:space="preserve">3 day training for master Trainer and 3 day training for Peer educator on LSE  (Total 15 Master Trainer/ district and 20 peer educator/ district). Total 2 batch training per district </t>
  </si>
  <si>
    <t>3 days training for Peer Educator, 20 person / district</t>
  </si>
  <si>
    <t xml:space="preserve">Total cost/ District </t>
  </si>
  <si>
    <t xml:space="preserve">Peer educator will conduct LSE session to 2000 participnats per year/ District  </t>
  </si>
  <si>
    <t>Update Education Curriculum  and TTI Training curriculum on HIV &amp; LSE from Grade- iv to Xii</t>
  </si>
  <si>
    <t xml:space="preserve">per year cost </t>
  </si>
  <si>
    <t>TOTAL training Cost - 2 batch</t>
  </si>
  <si>
    <t>TOTAL training Cost -2 batch</t>
  </si>
  <si>
    <t>School based LSE session ( formal and non-formal set up)</t>
  </si>
  <si>
    <t xml:space="preserve">Master Trainer and Peer educator will conduct on LSE  sessoin (Total 19000 formal school X 5 classess X 20 student per sesssion) for 1900000 student in formal school. And in infromal school 25000 student per year.   </t>
  </si>
  <si>
    <t xml:space="preserve">In formal school </t>
  </si>
  <si>
    <t xml:space="preserve">In non-formal school </t>
  </si>
  <si>
    <t>Total cost/ year</t>
  </si>
  <si>
    <t>Participants  per district</t>
  </si>
  <si>
    <t>4.1.5</t>
  </si>
  <si>
    <t xml:space="preserve">Conduct HIV Drug resistance Surveillance </t>
  </si>
  <si>
    <t xml:space="preserve">HIV Drug Resistance Surveillance </t>
  </si>
  <si>
    <t xml:space="preserve">same as Serological Surveiilance </t>
  </si>
  <si>
    <t>Total (USD)</t>
  </si>
  <si>
    <t>1. Revised 3rd NSP 2011-2017</t>
  </si>
  <si>
    <t>2. Costed National Implementation Plan 2014-2017</t>
  </si>
  <si>
    <t>Other Program cost are considered with 5% Inflation</t>
  </si>
  <si>
    <t>Target is 65% of the high size est (102,260 for FSW)</t>
  </si>
  <si>
    <t>Target is 65% of inofficial size est of 1,045</t>
  </si>
  <si>
    <t>Target is 75% of the high size est (32,021 for Male PWID)</t>
  </si>
  <si>
    <t>Target is 35% of the high size est (101,695 for MSM)</t>
  </si>
  <si>
    <t>Target is 75% of the high size est (10,199 for hijra)</t>
  </si>
  <si>
    <t>Target is 65% of the high size est (29,777 for MSW)</t>
  </si>
  <si>
    <t>Scaled up to reach at least 8% of PWID according to recommendation at stakeholder consultation</t>
  </si>
  <si>
    <t>Plan of Action, Draft strategies and service packages have been developed, but implementation has not begun. These should be revised/ updated and finalized</t>
  </si>
  <si>
    <t xml:space="preserve">per year events </t>
  </si>
  <si>
    <t>1.4.1.4</t>
  </si>
  <si>
    <t>No. of testing kits</t>
  </si>
  <si>
    <t>HIV testing kit</t>
  </si>
  <si>
    <t>HTC among general population (HIV Testing Kit)</t>
  </si>
  <si>
    <t>No. of kits/ persons</t>
  </si>
  <si>
    <t>1.1.4</t>
  </si>
  <si>
    <t>Pilot Pre-exposure prophylaxis (PrEP) among KPs</t>
  </si>
  <si>
    <t>KPs</t>
  </si>
  <si>
    <t>No. of KPs</t>
  </si>
  <si>
    <t>Target for 81% of the estimated people in need of ART in 2022 (Spectrum)</t>
  </si>
  <si>
    <t>Commodities &amp; Services</t>
  </si>
  <si>
    <t>Syringes/Needles</t>
  </si>
  <si>
    <t>PHC incl. Satelite centers</t>
  </si>
  <si>
    <t>Staff</t>
  </si>
  <si>
    <t>OST Center</t>
  </si>
  <si>
    <t>Commodities &amp; services</t>
  </si>
  <si>
    <t>Drugs</t>
  </si>
  <si>
    <t>Usables</t>
  </si>
  <si>
    <t>M+E</t>
  </si>
  <si>
    <t>Conduct pilot intervention for Especially Vulnerable Adolescent with subsequent assessment</t>
  </si>
  <si>
    <t>Conduct mass media BCC camaign based on different risk behaviors including STI</t>
  </si>
  <si>
    <t>Strengthen Post Exposure Prophylaxis</t>
  </si>
  <si>
    <t>Strengthen STI service provision and utlisation</t>
  </si>
  <si>
    <t>Streangthen higher level STI services for complicated case management</t>
  </si>
  <si>
    <t>Provide funding to PLHIV organisation for care and support coordination role</t>
  </si>
  <si>
    <t>in BDT</t>
  </si>
  <si>
    <t>Total (BDT)</t>
  </si>
  <si>
    <t>Data collection</t>
  </si>
  <si>
    <t>event</t>
  </si>
  <si>
    <t>4.1.2.1</t>
  </si>
  <si>
    <t xml:space="preserve">Conduct regular serological surveillance of all key populations </t>
  </si>
  <si>
    <t>4.1.2.2</t>
  </si>
  <si>
    <t>BSS including IBBS In some places</t>
  </si>
  <si>
    <t>Conduct regular behavioural surveillance of all key populations with IBBS in some places</t>
  </si>
  <si>
    <t>Impact assessment; AEM modelling, etc</t>
  </si>
  <si>
    <t>10  working papers of National Strategic Plan will be transformed into policy brief</t>
  </si>
  <si>
    <t>AEM modelling</t>
  </si>
  <si>
    <t>5. National HIV and AIDS M&amp;E Operation Plan 2011-2017 : Roadmap 2016-2017</t>
  </si>
  <si>
    <t>A review will be undertaken of current reporting system and assessment of options for improvement. The database for HIV reporting will be integrated with the HIV treatment observational data base</t>
  </si>
  <si>
    <t>Ref: Costed National Implementation Plan 2014-2017</t>
  </si>
  <si>
    <t>Ref: National HIV and AIDS M&amp;E Operation Plan 2011-2017 : Roadmap 2016-2017</t>
  </si>
  <si>
    <t>Conduct  sentinel STI surveillance through NGOs</t>
  </si>
  <si>
    <t>Sentinel STI surveillance</t>
  </si>
  <si>
    <t>An allocation of 50 days consultancy has been made to assist in triangulation of data.</t>
  </si>
  <si>
    <t>National dissemination</t>
  </si>
  <si>
    <t xml:space="preserve">Cost is calculated as a Serological Surveillance </t>
  </si>
  <si>
    <t>Cost is calculated as a Surveillance survey</t>
  </si>
  <si>
    <t>Produce guidelines and tools - Local Consultant</t>
  </si>
  <si>
    <t>As per M&amp;E Operation Plan 2011-2017 (7.4), 8 visit / year (3 person in each team)</t>
  </si>
  <si>
    <t xml:space="preserve">Develop, print and disseminate GARPR report/policy briefs every year </t>
  </si>
  <si>
    <t>There is insufficient cost/benefit based evidence to scale up various interventions to achieve sufficient coverage to affect outcomes. Among KPs there is insufficient evidence to support scaling up current intervention modalities. Further evidence is also required in the design of interventions for hidden sex workers, MARA and partners of KPs.</t>
  </si>
  <si>
    <t>As per M&amp;E Operation Plan 2011-2017 (12.6 &amp; 12.7)</t>
  </si>
  <si>
    <t>As per M&amp;E Operation Plan 2011-2017 (11.4 &amp; 11.5)</t>
  </si>
  <si>
    <t>5% per Year from 2018</t>
  </si>
  <si>
    <t>Inflationary adjustment: 7.5% per year from 2018</t>
  </si>
  <si>
    <t xml:space="preserve">Salary and Personnel Cost are considered with 7.5% Inflation </t>
  </si>
  <si>
    <t>Ref: GoB budget for 2017-22</t>
  </si>
  <si>
    <t>4. Costing data from GOB budget, 2017-2022</t>
  </si>
  <si>
    <t>3. Investment Case - Prioritizing Investment Options in HIV Response in Bangladesh to End AIDS by 2030</t>
  </si>
  <si>
    <t>Ref: Costing data from GOB budget, 2017-2022</t>
  </si>
  <si>
    <t>Ref: Same as HTC for KPs</t>
  </si>
  <si>
    <t>5 days training in batches</t>
  </si>
  <si>
    <t>No. of providers</t>
  </si>
  <si>
    <t>Ref: Investment Case - Prioritizing Investment Options in HIV Response in Bangladesh to End AIDS by 2030</t>
  </si>
  <si>
    <t>In selected Internal Medicine department of public medical college hospitals for complex treatment referral center and support for local level providers. A specialist facility will be established in 8 divisions over the five years period.</t>
  </si>
  <si>
    <t>In the three PMTCT sites, the respective pediatric departments will intiate management of HIV exposed newborns</t>
  </si>
  <si>
    <t>One in each Division</t>
  </si>
  <si>
    <t>As per international guidelines</t>
  </si>
  <si>
    <t>2.1.1</t>
  </si>
  <si>
    <t>2.1.2</t>
  </si>
  <si>
    <t>Number of PLHIV on ART receive viral load test</t>
  </si>
  <si>
    <t>Cost per person</t>
  </si>
  <si>
    <t>No. of CBOs</t>
  </si>
  <si>
    <t>Number</t>
  </si>
  <si>
    <t>1.4.5</t>
  </si>
  <si>
    <t>Packages</t>
  </si>
  <si>
    <t>Community mobilization and referral services to the Care support and treatment and PMTCT program</t>
  </si>
  <si>
    <t>Cost per package</t>
  </si>
  <si>
    <t>No of packages</t>
  </si>
  <si>
    <t>Continuet interventions for prisoners</t>
  </si>
  <si>
    <t>Continue four sub-units and provide logistical support</t>
  </si>
  <si>
    <t>Celebration of World AIDS Day</t>
  </si>
  <si>
    <t>Per person per day</t>
  </si>
  <si>
    <t>Conduct quarterly meetings of TC-NAC (one day)</t>
  </si>
  <si>
    <t>Locaal consultant</t>
  </si>
  <si>
    <t>Days</t>
  </si>
  <si>
    <t>Consultation meetings</t>
  </si>
  <si>
    <t>Consultants</t>
  </si>
  <si>
    <t>Senior Consultant</t>
  </si>
  <si>
    <t>Junior Consultant</t>
  </si>
  <si>
    <t>Support Staff</t>
  </si>
  <si>
    <t>Electricity, water, gas, etc. Bill</t>
  </si>
  <si>
    <t>Conduct advisory committee meetings (half yearly)</t>
  </si>
  <si>
    <t>Costed same as TC-NAC meeting, 22 participants, 7X2=14 meeting / year</t>
  </si>
  <si>
    <t xml:space="preserve">Conduct yearly meetings of Ministry focal points </t>
  </si>
  <si>
    <t>Costed same as TC-NAC meeting, 44 participants, 2 meeting / year</t>
  </si>
  <si>
    <t>Same as NAC</t>
  </si>
  <si>
    <t>Per session</t>
  </si>
  <si>
    <t>Conduct sceintefic session cost</t>
  </si>
  <si>
    <t>Conduct biannual HIV Congress (two days)</t>
  </si>
  <si>
    <t>Management Cost (Event management)</t>
  </si>
  <si>
    <t>Annual meeting of 1200 participants.</t>
  </si>
  <si>
    <t>Per diem + travel cost</t>
  </si>
  <si>
    <t>Ref.: Costed National Implementation Plan 2014-2017</t>
  </si>
  <si>
    <t xml:space="preserve">Technical support interms of consultancy will be provided to 16 key ministries </t>
  </si>
  <si>
    <t>Local consultant (32 Days)</t>
  </si>
  <si>
    <t xml:space="preserve">Additional equipments </t>
  </si>
  <si>
    <t>Ref.: Costed National Implementation Plan 2014-2017 &amp; Costing data from GOB budget, 2017-2022</t>
  </si>
  <si>
    <t>Covered under 3.7.1.1.2</t>
  </si>
  <si>
    <t>Training of service providers is covered under 3.7.1.1.2</t>
  </si>
  <si>
    <t>No. of districts 
(100 per district)</t>
  </si>
  <si>
    <t>Capacity development of staff involved in blood collection in selected districts with high PLHIV population</t>
  </si>
  <si>
    <t>Currently 18 facilities are functional. Target is 50 district/MCH by 2022</t>
  </si>
  <si>
    <t>3.7.4.1</t>
  </si>
  <si>
    <t>3.7.4.2</t>
  </si>
  <si>
    <t>20 participants in each of the 23 priority districts</t>
  </si>
  <si>
    <t>Training (20 person / year/district)</t>
  </si>
  <si>
    <t>Training to be provided to 20 participants over three days, in each priority district</t>
  </si>
  <si>
    <t>Ref.: Costing data from GOB budget, 2017-2022</t>
  </si>
  <si>
    <t>Only one study so far in Sylhet</t>
  </si>
  <si>
    <t>Cross-border migrants, EVA</t>
  </si>
  <si>
    <t>4.2.4</t>
  </si>
  <si>
    <t>Conduct Stigma Index Study</t>
  </si>
  <si>
    <t>Local Consultant (60 days)</t>
  </si>
  <si>
    <t>No. of days</t>
  </si>
  <si>
    <t>Data collection and processing</t>
  </si>
  <si>
    <t>Comprehensive Care, Support and Treatment Centres are operating in 18 public hospitals</t>
  </si>
  <si>
    <t>90% of the PLHIV will receive ART</t>
  </si>
  <si>
    <t>90% of the PLHIV will receive care and support</t>
  </si>
  <si>
    <t>STI, PMTCT, ART, HTC, etc.</t>
  </si>
  <si>
    <t>No behavioural surveillance since 2006-07</t>
  </si>
  <si>
    <t>MIS tools; PMTCT framework, etc.</t>
  </si>
  <si>
    <t>Ref: Costed National Implementation Plan 2014-2017 &amp; Costing data from GOB budget, 2017-2022</t>
  </si>
  <si>
    <t>Training cost per person per day</t>
  </si>
  <si>
    <t>3 days Master Trainers' training, 25 person / district</t>
  </si>
  <si>
    <t>3 days training for Peer Educator, 30 person / district</t>
  </si>
  <si>
    <t xml:space="preserve">3 day training for master Trainer and 3 day training for Peer educator on LSE  (Total 25 Master Trainer/ district and 30 peer educator/ district). Total 2 batches per districts in 23 district will be covered  </t>
  </si>
  <si>
    <t xml:space="preserve">Total Cost in 23 districts </t>
  </si>
  <si>
    <t>Strategy 1.1: HIV case detection increased and HIV and STI transmission minimized and risk behaviour reduced among key populations through comprehensive targeted interventions and service provision</t>
  </si>
  <si>
    <t>Strategy 1.2: Increased case detection and reduction of risk behaviours and provision of services for emerging risk populations and vulnerable groups</t>
  </si>
  <si>
    <t>Strategy 3.3: Conduct stakeholder forums to coordinate, review and discuss the HIV response across other ministries and departments and with civil society groups</t>
  </si>
  <si>
    <t>2.4.1.5</t>
  </si>
  <si>
    <t>Source: UNICEF/AAS</t>
  </si>
  <si>
    <t>Ref: UNICEF/AAS</t>
  </si>
  <si>
    <t>Strategy 1.3: Increased case detection and awareness raising among general population and young people</t>
  </si>
  <si>
    <t>3.4.2</t>
  </si>
  <si>
    <t>3.4.3</t>
  </si>
  <si>
    <t>3.4.4</t>
  </si>
  <si>
    <t>3.4.5</t>
  </si>
  <si>
    <t>3.4.6</t>
  </si>
  <si>
    <t>Establish HIV reporting and maintain PLHIV database</t>
  </si>
  <si>
    <t>Development/update and installation of software</t>
  </si>
  <si>
    <t>Number of CABA and OVC enrolled in care and support</t>
  </si>
  <si>
    <t>Conduct regular M&amp;E visits to assess quality (third party monitoring may be considered)</t>
  </si>
  <si>
    <t>Training of ART service providers of public and private sector with annual refresher for out-patient and in-patient care</t>
  </si>
  <si>
    <t>Map support services for care and support with required local level advocacy</t>
  </si>
  <si>
    <t>Programme objective 1: To implement services to prevent new HIV infections by increasing program coverage and case detection</t>
  </si>
  <si>
    <t>Strategy 1.4: Strengthening of HIV and STI prevention and other SRH services in public health care settings and functional linkages for co-infections (e.g. TB, Hepatitis, etc.)</t>
  </si>
  <si>
    <t>Program objective 2: To provide universal access to treatment, care and support services for the people living with HIV</t>
  </si>
  <si>
    <t>Strategy 2.1: Reduce mortality and morbidity among PLHIV through early detection and treatment by system strengthening of government, non-government and private sector facilities</t>
  </si>
  <si>
    <t>Strategy 2.2:Ensure capacity of service providers for out-patient and in-patient medical management of PLHIV in government, non-government and private sectors</t>
  </si>
  <si>
    <t>Strategy 2.3: Ensure functional systems for related policy adoption, linkages and update</t>
  </si>
  <si>
    <t>Strategy 2.4: A comprehensive approach to community support system adopted and implemented to strengthen treatment adherence, care and support for PLHIV including CABA and OVC</t>
  </si>
  <si>
    <t>Program objective 3: To strengthen the coordination mechanisms and management capacity at different levels to ensure an effective national multi-sector HIV/AIDS response</t>
  </si>
  <si>
    <t>Strategy  3.5: Facilitate development and implementation of activities and plans in key sectors for strengthened collaboration on HIV prevention</t>
  </si>
  <si>
    <t>Program objective 4: To strengthen strategic information systems and research for an evidence based response</t>
  </si>
  <si>
    <t>IMPLEMENTATION PLAN OF NATIONAL STRATEGIC PLAN 2018 - 2023</t>
  </si>
  <si>
    <t>1 day inception and annual 1day refresher training provided to staff involved in collection of blood at selected sites, 50 trained / district</t>
  </si>
  <si>
    <t>1 day inception cost for 50 participant</t>
  </si>
  <si>
    <t>DA</t>
  </si>
  <si>
    <t>Food/ DSA</t>
  </si>
  <si>
    <t>Food/ DA</t>
  </si>
</sst>
</file>

<file path=xl/styles.xml><?xml version="1.0" encoding="utf-8"?>
<styleSheet xmlns="http://schemas.openxmlformats.org/spreadsheetml/2006/main">
  <numFmts count="12">
    <numFmt numFmtId="41" formatCode="_(* #,##0_);_(* \(#,##0\);_(* &quot;-&quot;_);_(@_)"/>
    <numFmt numFmtId="43" formatCode="_(* #,##0.00_);_(* \(#,##0.00\);_(* &quot;-&quot;??_);_(@_)"/>
    <numFmt numFmtId="164" formatCode="[$-809]dd\ mmmm\ yyyy;@"/>
    <numFmt numFmtId="165" formatCode="0.0"/>
    <numFmt numFmtId="166" formatCode="&quot;$&quot;#,##0.00;[Red]\-&quot;$&quot;#,##0.00"/>
    <numFmt numFmtId="167" formatCode="&quot;$&quot;#,##0;[Red]\-&quot;$&quot;#,##0"/>
    <numFmt numFmtId="168" formatCode="_(* #,##0_);_(* \(#,##0\);_(* &quot;-&quot;??_);_(@_)"/>
    <numFmt numFmtId="169" formatCode="0.000"/>
    <numFmt numFmtId="170" formatCode="_-* #,##0_-;\-* #,##0_-;_-* &quot;-&quot;??_-;_-@_-"/>
    <numFmt numFmtId="171" formatCode="_(* #,##0.0_);_(* \(#,##0.0\);_(* &quot;-&quot;??_);_(@_)"/>
    <numFmt numFmtId="172" formatCode="0.0%"/>
    <numFmt numFmtId="173" formatCode="_(* #,##0_);_(* \(#,##0\);_(* &quot;-&quot;?_);_(@_)"/>
  </numFmts>
  <fonts count="35">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rgb="FFFF0000"/>
      <name val="Arial"/>
      <family val="2"/>
    </font>
    <font>
      <sz val="10"/>
      <name val="Arial"/>
      <family val="2"/>
    </font>
    <font>
      <sz val="12"/>
      <color theme="1"/>
      <name val="Calibri"/>
      <family val="2"/>
      <scheme val="minor"/>
    </font>
    <font>
      <sz val="11"/>
      <color rgb="FF9C0006"/>
      <name val="Calibri"/>
      <family val="2"/>
      <scheme val="minor"/>
    </font>
    <font>
      <b/>
      <sz val="10"/>
      <name val="Arial"/>
      <family val="2"/>
    </font>
    <font>
      <b/>
      <sz val="14"/>
      <name val="Arial"/>
      <family val="2"/>
    </font>
    <font>
      <i/>
      <sz val="10"/>
      <name val="Arial"/>
      <family val="2"/>
    </font>
    <font>
      <b/>
      <sz val="16"/>
      <name val="Arial"/>
      <family val="2"/>
    </font>
    <font>
      <b/>
      <i/>
      <sz val="10"/>
      <name val="Arial"/>
      <family val="2"/>
    </font>
    <font>
      <b/>
      <sz val="12"/>
      <color theme="1"/>
      <name val="Calibri"/>
      <family val="2"/>
      <scheme val="minor"/>
    </font>
    <font>
      <sz val="11"/>
      <name val="Calibri"/>
      <family val="2"/>
      <scheme val="minor"/>
    </font>
    <font>
      <sz val="8"/>
      <name val="Arial"/>
      <family val="2"/>
    </font>
    <font>
      <b/>
      <sz val="11"/>
      <name val="Calibri"/>
      <family val="2"/>
      <scheme val="minor"/>
    </font>
    <font>
      <b/>
      <sz val="12"/>
      <name val="Calibri"/>
      <family val="2"/>
      <scheme val="minor"/>
    </font>
    <font>
      <b/>
      <i/>
      <sz val="11"/>
      <name val="Calibri"/>
      <family val="2"/>
      <scheme val="minor"/>
    </font>
    <font>
      <i/>
      <sz val="11"/>
      <name val="Calibri"/>
      <family val="2"/>
      <scheme val="minor"/>
    </font>
    <font>
      <sz val="11"/>
      <color rgb="FFFF0000"/>
      <name val="Calibri"/>
      <family val="2"/>
      <scheme val="minor"/>
    </font>
    <font>
      <i/>
      <sz val="11"/>
      <color theme="1"/>
      <name val="Calibri"/>
      <family val="2"/>
      <scheme val="minor"/>
    </font>
    <font>
      <b/>
      <sz val="13"/>
      <name val="Calibri"/>
      <family val="2"/>
      <scheme val="minor"/>
    </font>
    <font>
      <b/>
      <sz val="12"/>
      <name val="Arial"/>
      <family val="2"/>
    </font>
    <font>
      <sz val="10"/>
      <color rgb="FF000000"/>
      <name val="Calibri"/>
      <family val="2"/>
      <scheme val="minor"/>
    </font>
    <font>
      <b/>
      <sz val="14"/>
      <color theme="0"/>
      <name val="Arial"/>
      <family val="2"/>
    </font>
    <font>
      <sz val="14"/>
      <color theme="0"/>
      <name val="Arial"/>
      <family val="2"/>
    </font>
    <font>
      <b/>
      <sz val="16"/>
      <color rgb="FF7030A0"/>
      <name val="Arial"/>
      <family val="2"/>
    </font>
    <font>
      <b/>
      <sz val="13"/>
      <color rgb="FF7030A0"/>
      <name val="Calibri"/>
      <family val="2"/>
      <scheme val="minor"/>
    </font>
    <font>
      <b/>
      <sz val="12"/>
      <color theme="0"/>
      <name val="Arial"/>
      <family val="2"/>
    </font>
    <font>
      <sz val="9"/>
      <color indexed="81"/>
      <name val="Tahoma"/>
      <family val="2"/>
    </font>
    <font>
      <b/>
      <sz val="9"/>
      <color indexed="81"/>
      <name val="Tahoma"/>
      <family val="2"/>
    </font>
    <font>
      <b/>
      <sz val="12"/>
      <color rgb="FF7030A0"/>
      <name val="Arial"/>
      <family val="2"/>
    </font>
    <font>
      <b/>
      <sz val="12"/>
      <color theme="0"/>
      <name val="Calibri"/>
      <family val="2"/>
      <scheme val="minor"/>
    </font>
  </fonts>
  <fills count="18">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FFC7CE"/>
      </patternFill>
    </fill>
    <fill>
      <patternFill patternType="solid">
        <fgColor rgb="FFCCFFFF"/>
        <bgColor indexed="64"/>
      </patternFill>
    </fill>
    <fill>
      <patternFill patternType="solid">
        <fgColor rgb="FFFFCCFF"/>
        <bgColor indexed="64"/>
      </patternFill>
    </fill>
    <fill>
      <patternFill patternType="solid">
        <fgColor rgb="FFCCECFF"/>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9FF66"/>
        <bgColor indexed="64"/>
      </patternFill>
    </fill>
    <fill>
      <patternFill patternType="solid">
        <fgColor rgb="FFFF66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9" tint="-0.249977111117893"/>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thin">
        <color indexed="64"/>
      </left>
      <right style="medium">
        <color auto="1"/>
      </right>
      <top/>
      <bottom style="thin">
        <color indexed="64"/>
      </bottom>
      <diagonal/>
    </border>
    <border>
      <left style="thin">
        <color indexed="64"/>
      </left>
      <right/>
      <top style="thin">
        <color auto="1"/>
      </top>
      <bottom style="medium">
        <color auto="1"/>
      </bottom>
      <diagonal/>
    </border>
    <border>
      <left/>
      <right style="thin">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thin">
        <color indexed="64"/>
      </left>
      <right style="medium">
        <color auto="1"/>
      </right>
      <top style="thin">
        <color auto="1"/>
      </top>
      <bottom style="medium">
        <color auto="1"/>
      </bottom>
      <diagonal/>
    </border>
    <border>
      <left/>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auto="1"/>
      </right>
      <top style="thin">
        <color indexed="64"/>
      </top>
      <bottom/>
      <diagonal/>
    </border>
    <border>
      <left/>
      <right/>
      <top style="thin">
        <color indexed="64"/>
      </top>
      <bottom/>
      <diagonal/>
    </border>
    <border>
      <left style="thin">
        <color indexed="64"/>
      </left>
      <right style="thin">
        <color indexed="64"/>
      </right>
      <top style="medium">
        <color auto="1"/>
      </top>
      <bottom style="thin">
        <color auto="1"/>
      </bottom>
      <diagonal/>
    </border>
    <border>
      <left/>
      <right/>
      <top/>
      <bottom style="medium">
        <color auto="1"/>
      </bottom>
      <diagonal/>
    </border>
    <border>
      <left/>
      <right style="medium">
        <color auto="1"/>
      </right>
      <top style="thin">
        <color indexed="64"/>
      </top>
      <bottom style="thin">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medium">
        <color auto="1"/>
      </left>
      <right style="thin">
        <color indexed="64"/>
      </right>
      <top/>
      <bottom style="thin">
        <color indexed="64"/>
      </bottom>
      <diagonal/>
    </border>
    <border>
      <left style="medium">
        <color indexed="64"/>
      </left>
      <right style="medium">
        <color indexed="64"/>
      </right>
      <top style="medium">
        <color indexed="64"/>
      </top>
      <bottom style="medium">
        <color auto="1"/>
      </bottom>
      <diagonal/>
    </border>
    <border>
      <left style="thin">
        <color indexed="64"/>
      </left>
      <right style="medium">
        <color indexed="64"/>
      </right>
      <top style="medium">
        <color indexed="64"/>
      </top>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auto="1"/>
      </right>
      <top style="medium">
        <color indexed="64"/>
      </top>
      <bottom style="medium">
        <color auto="1"/>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6" fillId="0" borderId="0"/>
    <xf numFmtId="43" fontId="6" fillId="0" borderId="0" applyFont="0" applyFill="0" applyBorder="0" applyAlignment="0" applyProtection="0"/>
    <xf numFmtId="0" fontId="8" fillId="4" borderId="0" applyNumberFormat="0" applyBorder="0" applyAlignment="0" applyProtection="0"/>
    <xf numFmtId="0" fontId="6" fillId="0" borderId="0"/>
    <xf numFmtId="0" fontId="6" fillId="0" borderId="0"/>
    <xf numFmtId="43" fontId="1" fillId="0" borderId="0" applyFont="0" applyFill="0" applyBorder="0" applyAlignment="0" applyProtection="0"/>
    <xf numFmtId="0" fontId="16" fillId="0" borderId="0"/>
    <xf numFmtId="0" fontId="6" fillId="0" borderId="0"/>
    <xf numFmtId="0" fontId="16" fillId="0" borderId="0"/>
  </cellStyleXfs>
  <cellXfs count="849">
    <xf numFmtId="0" fontId="0" fillId="0" borderId="0" xfId="0"/>
    <xf numFmtId="0" fontId="7" fillId="0" borderId="0" xfId="0" applyFont="1" applyBorder="1" applyAlignment="1">
      <alignment wrapText="1"/>
    </xf>
    <xf numFmtId="0" fontId="0" fillId="0" borderId="0" xfId="0" applyFont="1" applyFill="1" applyBorder="1"/>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9" fillId="0" borderId="0" xfId="2" applyFont="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2" applyFont="1" applyBorder="1" applyAlignment="1">
      <alignment wrapText="1"/>
    </xf>
    <xf numFmtId="0" fontId="0" fillId="0" borderId="0" xfId="0" applyFont="1" applyBorder="1"/>
    <xf numFmtId="0" fontId="2" fillId="0" borderId="0" xfId="0" applyFont="1" applyFill="1" applyBorder="1" applyAlignment="1">
      <alignment horizontal="left" vertical="center" wrapText="1"/>
    </xf>
    <xf numFmtId="0" fontId="3" fillId="0" borderId="0" xfId="0" applyFont="1" applyFill="1" applyBorder="1" applyAlignment="1">
      <alignment wrapText="1"/>
    </xf>
    <xf numFmtId="0" fontId="4" fillId="0" borderId="0" xfId="0" applyFont="1" applyBorder="1" applyAlignment="1">
      <alignment horizontal="center" vertical="center" wrapText="1"/>
    </xf>
    <xf numFmtId="0" fontId="3" fillId="0" borderId="0" xfId="0" applyFont="1" applyBorder="1" applyAlignment="1">
      <alignment wrapText="1"/>
    </xf>
    <xf numFmtId="0" fontId="6" fillId="0" borderId="0" xfId="2" applyFont="1" applyBorder="1" applyAlignment="1">
      <alignment horizontal="center" vertical="center" wrapText="1"/>
    </xf>
    <xf numFmtId="0" fontId="9" fillId="0" borderId="0" xfId="2" applyFont="1" applyBorder="1" applyAlignment="1">
      <alignment horizontal="left" vertical="center" wrapText="1"/>
    </xf>
    <xf numFmtId="0" fontId="9" fillId="0" borderId="1" xfId="2" applyFont="1" applyFill="1" applyBorder="1" applyAlignment="1">
      <alignment horizontal="left" vertical="center" wrapText="1"/>
    </xf>
    <xf numFmtId="0" fontId="6" fillId="0" borderId="1" xfId="2" applyFont="1" applyBorder="1" applyAlignment="1">
      <alignment horizontal="center" vertical="center" wrapText="1"/>
    </xf>
    <xf numFmtId="3" fontId="6" fillId="0" borderId="1" xfId="2" applyNumberFormat="1" applyFont="1" applyBorder="1" applyAlignment="1">
      <alignment horizontal="center" vertical="center" wrapText="1"/>
    </xf>
    <xf numFmtId="0" fontId="9" fillId="0" borderId="1" xfId="2" applyFont="1" applyBorder="1" applyAlignment="1">
      <alignment horizontal="left" vertical="center" wrapText="1"/>
    </xf>
    <xf numFmtId="0" fontId="9" fillId="0" borderId="1" xfId="2" quotePrefix="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164" fontId="6" fillId="0" borderId="0" xfId="2" applyNumberFormat="1" applyFont="1" applyBorder="1" applyAlignment="1">
      <alignment wrapText="1"/>
    </xf>
    <xf numFmtId="0" fontId="11" fillId="0" borderId="1" xfId="2" applyFont="1" applyFill="1" applyBorder="1" applyAlignment="1">
      <alignment horizontal="left" vertical="center" wrapText="1"/>
    </xf>
    <xf numFmtId="0" fontId="0" fillId="0" borderId="0" xfId="0" applyFont="1" applyBorder="1"/>
    <xf numFmtId="0" fontId="9" fillId="5" borderId="1" xfId="2" applyFont="1" applyFill="1" applyBorder="1" applyAlignment="1">
      <alignment horizontal="center" vertical="center" wrapText="1"/>
    </xf>
    <xf numFmtId="0" fontId="6" fillId="0" borderId="1" xfId="2" applyFont="1" applyFill="1" applyBorder="1" applyAlignment="1">
      <alignment vertical="center" wrapText="1"/>
    </xf>
    <xf numFmtId="0" fontId="3" fillId="0" borderId="1" xfId="0" applyFont="1" applyBorder="1" applyAlignment="1">
      <alignment horizontal="center" vertical="center" wrapText="1"/>
    </xf>
    <xf numFmtId="0" fontId="6" fillId="0" borderId="0" xfId="2"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0" borderId="1" xfId="2" quotePrefix="1" applyFont="1" applyFill="1" applyBorder="1" applyAlignment="1">
      <alignment horizontal="left" vertical="center" wrapText="1"/>
    </xf>
    <xf numFmtId="0" fontId="6" fillId="0" borderId="1" xfId="4" applyFont="1" applyFill="1" applyBorder="1" applyAlignment="1">
      <alignment horizontal="left" vertical="center" wrapText="1"/>
    </xf>
    <xf numFmtId="0" fontId="0" fillId="0" borderId="0" xfId="0"/>
    <xf numFmtId="0" fontId="0" fillId="0" borderId="0" xfId="0" applyFont="1" applyFill="1" applyBorder="1"/>
    <xf numFmtId="0" fontId="0" fillId="0" borderId="0" xfId="0" applyFont="1" applyBorder="1"/>
    <xf numFmtId="0" fontId="4" fillId="0" borderId="1" xfId="0" applyFont="1" applyBorder="1" applyAlignment="1">
      <alignment horizontal="center" vertical="center" wrapText="1"/>
    </xf>
    <xf numFmtId="0" fontId="6" fillId="0" borderId="1" xfId="2" applyFont="1" applyFill="1" applyBorder="1" applyAlignment="1">
      <alignment horizontal="center" vertical="center" wrapText="1"/>
    </xf>
    <xf numFmtId="0" fontId="2" fillId="0" borderId="0" xfId="0" applyFont="1" applyBorder="1" applyAlignment="1">
      <alignment horizontal="center" vertical="center"/>
    </xf>
    <xf numFmtId="0" fontId="9" fillId="0" borderId="1" xfId="2" applyFont="1" applyFill="1" applyBorder="1" applyAlignment="1">
      <alignment horizontal="center" vertical="center" wrapText="1"/>
    </xf>
    <xf numFmtId="0" fontId="2" fillId="0" borderId="0" xfId="0" applyFont="1" applyBorder="1"/>
    <xf numFmtId="0" fontId="6" fillId="9" borderId="1" xfId="2" applyFont="1" applyFill="1" applyBorder="1" applyAlignment="1">
      <alignment horizontal="center" vertical="center" wrapText="1"/>
    </xf>
    <xf numFmtId="0" fontId="5" fillId="9" borderId="1" xfId="0" applyFont="1" applyFill="1" applyBorder="1" applyAlignment="1">
      <alignment horizontal="center" vertical="center" wrapText="1"/>
    </xf>
    <xf numFmtId="0" fontId="9" fillId="0" borderId="0" xfId="0" applyFont="1" applyAlignment="1">
      <alignment wrapText="1"/>
    </xf>
    <xf numFmtId="0" fontId="6" fillId="11" borderId="1" xfId="2" applyFont="1" applyFill="1" applyBorder="1" applyAlignment="1">
      <alignment horizontal="center" vertical="center" wrapText="1"/>
    </xf>
    <xf numFmtId="0" fontId="9" fillId="11" borderId="1" xfId="2" applyFont="1" applyFill="1" applyBorder="1" applyAlignment="1">
      <alignment horizontal="center" vertical="center" wrapText="1"/>
    </xf>
    <xf numFmtId="0" fontId="9" fillId="10" borderId="1" xfId="2" applyFont="1" applyFill="1" applyBorder="1" applyAlignment="1">
      <alignment horizontal="center" vertical="center" wrapText="1"/>
    </xf>
    <xf numFmtId="0" fontId="9" fillId="0" borderId="1" xfId="2" applyFont="1" applyBorder="1" applyAlignment="1">
      <alignment horizontal="center" vertical="center" wrapText="1"/>
    </xf>
    <xf numFmtId="0" fontId="2" fillId="8" borderId="0" xfId="0" applyFont="1" applyFill="1" applyBorder="1"/>
    <xf numFmtId="0" fontId="9" fillId="3"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3" fillId="11" borderId="1" xfId="0" applyFont="1" applyFill="1" applyBorder="1" applyAlignment="1">
      <alignment horizontal="center" vertical="center" wrapText="1"/>
    </xf>
    <xf numFmtId="0" fontId="4" fillId="11" borderId="1" xfId="2" applyFont="1" applyFill="1" applyBorder="1" applyAlignment="1">
      <alignment horizontal="center" vertical="center" wrapText="1"/>
    </xf>
    <xf numFmtId="0" fontId="2" fillId="11" borderId="1" xfId="0" applyFont="1" applyFill="1" applyBorder="1"/>
    <xf numFmtId="0" fontId="4" fillId="11" borderId="1" xfId="0" applyFont="1" applyFill="1" applyBorder="1" applyAlignment="1">
      <alignment horizontal="center" vertical="center" wrapText="1"/>
    </xf>
    <xf numFmtId="2" fontId="0"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9" borderId="1" xfId="0" applyNumberFormat="1" applyFont="1" applyFill="1" applyBorder="1" applyAlignment="1">
      <alignment horizontal="center" vertical="center" wrapText="1"/>
    </xf>
    <xf numFmtId="0" fontId="9" fillId="10" borderId="1" xfId="2" quotePrefix="1"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8" borderId="0" xfId="0" applyFont="1" applyFill="1" applyBorder="1"/>
    <xf numFmtId="0" fontId="0" fillId="0" borderId="1" xfId="0" applyFill="1" applyBorder="1" applyAlignment="1">
      <alignment horizontal="center" vertical="center"/>
    </xf>
    <xf numFmtId="0" fontId="6" fillId="0" borderId="0" xfId="0" applyFont="1" applyAlignment="1">
      <alignment wrapText="1"/>
    </xf>
    <xf numFmtId="9" fontId="2" fillId="0" borderId="0" xfId="1" applyFont="1" applyBorder="1" applyAlignment="1">
      <alignment horizontal="center" vertical="center"/>
    </xf>
    <xf numFmtId="0" fontId="6" fillId="0" borderId="1" xfId="0" applyFont="1" applyBorder="1" applyAlignment="1">
      <alignment horizontal="center" vertical="center" wrapText="1"/>
    </xf>
    <xf numFmtId="0" fontId="17" fillId="0" borderId="9" xfId="0" applyFont="1" applyFill="1" applyBorder="1"/>
    <xf numFmtId="0" fontId="15" fillId="0" borderId="9" xfId="0" applyFont="1" applyFill="1" applyBorder="1"/>
    <xf numFmtId="0" fontId="17" fillId="0" borderId="9" xfId="0" applyFont="1" applyFill="1" applyBorder="1" applyAlignment="1">
      <alignment wrapText="1"/>
    </xf>
    <xf numFmtId="170" fontId="15" fillId="0" borderId="1" xfId="7" applyNumberFormat="1" applyFont="1" applyFill="1" applyBorder="1" applyAlignment="1">
      <alignment horizontal="center" vertical="center"/>
    </xf>
    <xf numFmtId="0" fontId="17" fillId="0" borderId="1" xfId="0" applyFont="1" applyFill="1" applyBorder="1" applyAlignment="1">
      <alignment horizontal="center" vertical="center"/>
    </xf>
    <xf numFmtId="2" fontId="0" fillId="8" borderId="1" xfId="0" applyNumberFormat="1" applyFill="1" applyBorder="1" applyAlignment="1">
      <alignment horizontal="center" vertical="center"/>
    </xf>
    <xf numFmtId="0" fontId="15" fillId="0" borderId="9" xfId="0" applyFont="1" applyBorder="1"/>
    <xf numFmtId="0" fontId="15" fillId="0" borderId="1" xfId="0" applyFont="1" applyBorder="1"/>
    <xf numFmtId="0" fontId="15" fillId="0" borderId="1" xfId="0" applyFont="1" applyBorder="1" applyAlignment="1">
      <alignment horizontal="center" vertical="center"/>
    </xf>
    <xf numFmtId="0" fontId="17" fillId="0" borderId="9" xfId="0" applyFont="1" applyBorder="1" applyAlignment="1">
      <alignment horizontal="center" vertical="center"/>
    </xf>
    <xf numFmtId="0" fontId="17" fillId="13" borderId="9" xfId="0" applyFont="1" applyFill="1" applyBorder="1"/>
    <xf numFmtId="0" fontId="17" fillId="0" borderId="9" xfId="0" applyFont="1" applyBorder="1"/>
    <xf numFmtId="0" fontId="15" fillId="0" borderId="1" xfId="0" applyFont="1" applyBorder="1" applyAlignment="1">
      <alignment horizontal="center"/>
    </xf>
    <xf numFmtId="0" fontId="17" fillId="0" borderId="0" xfId="0" applyFont="1"/>
    <xf numFmtId="0" fontId="17" fillId="0" borderId="0" xfId="0" applyFont="1" applyAlignment="1">
      <alignment vertical="center"/>
    </xf>
    <xf numFmtId="0" fontId="17" fillId="0" borderId="0" xfId="0" applyFont="1" applyAlignment="1">
      <alignment wrapText="1"/>
    </xf>
    <xf numFmtId="0" fontId="17" fillId="0" borderId="1" xfId="0" applyFont="1" applyBorder="1" applyAlignment="1">
      <alignment horizontal="center" vertical="center"/>
    </xf>
    <xf numFmtId="0" fontId="15" fillId="0" borderId="0" xfId="0" applyFont="1"/>
    <xf numFmtId="0" fontId="20" fillId="0" borderId="0" xfId="0" applyFont="1"/>
    <xf numFmtId="0" fontId="20" fillId="8" borderId="0" xfId="0" applyFont="1" applyFill="1" applyBorder="1" applyAlignment="1">
      <alignment vertical="center"/>
    </xf>
    <xf numFmtId="0" fontId="20" fillId="8" borderId="0" xfId="0" applyFont="1" applyFill="1" applyBorder="1"/>
    <xf numFmtId="0" fontId="17" fillId="8" borderId="1" xfId="0" applyFont="1" applyFill="1" applyBorder="1" applyAlignment="1">
      <alignment horizontal="center" vertical="center"/>
    </xf>
    <xf numFmtId="166" fontId="15" fillId="0" borderId="0" xfId="0" applyNumberFormat="1" applyFont="1"/>
    <xf numFmtId="166" fontId="15" fillId="0" borderId="0" xfId="0" applyNumberFormat="1" applyFont="1" applyAlignment="1">
      <alignment horizontal="center" vertical="center"/>
    </xf>
    <xf numFmtId="0" fontId="15" fillId="0" borderId="0" xfId="0" applyFont="1" applyAlignment="1">
      <alignment horizontal="center" vertical="center"/>
    </xf>
    <xf numFmtId="0" fontId="17" fillId="8" borderId="9" xfId="0" applyFont="1" applyFill="1" applyBorder="1"/>
    <xf numFmtId="0" fontId="17" fillId="13" borderId="33" xfId="0" applyFont="1" applyFill="1" applyBorder="1"/>
    <xf numFmtId="0" fontId="17" fillId="13" borderId="16" xfId="0" applyFont="1" applyFill="1" applyBorder="1" applyAlignment="1">
      <alignment horizontal="center" vertical="center"/>
    </xf>
    <xf numFmtId="0" fontId="17" fillId="13" borderId="1" xfId="0" applyFont="1" applyFill="1" applyBorder="1" applyAlignment="1">
      <alignment horizontal="center" vertical="center"/>
    </xf>
    <xf numFmtId="0" fontId="17" fillId="0" borderId="0" xfId="0" applyFont="1" applyAlignment="1">
      <alignment horizontal="center" vertical="center"/>
    </xf>
    <xf numFmtId="1" fontId="17" fillId="0" borderId="1" xfId="0" applyNumberFormat="1" applyFont="1" applyBorder="1" applyAlignment="1">
      <alignment horizontal="center" vertical="center"/>
    </xf>
    <xf numFmtId="0" fontId="15" fillId="0" borderId="9" xfId="0" applyFont="1" applyBorder="1" applyAlignment="1">
      <alignment horizontal="right"/>
    </xf>
    <xf numFmtId="0" fontId="17" fillId="0" borderId="1" xfId="0" applyFont="1" applyFill="1" applyBorder="1" applyAlignment="1">
      <alignment horizontal="center" vertical="center" wrapText="1"/>
    </xf>
    <xf numFmtId="0" fontId="17" fillId="0" borderId="0" xfId="0" applyFont="1" applyFill="1" applyBorder="1" applyAlignment="1">
      <alignment wrapText="1"/>
    </xf>
    <xf numFmtId="0" fontId="17" fillId="0" borderId="0" xfId="0" applyFont="1" applyFill="1" applyBorder="1" applyAlignment="1">
      <alignment horizontal="center" vertical="center" wrapText="1"/>
    </xf>
    <xf numFmtId="2" fontId="17" fillId="0" borderId="9" xfId="8" applyNumberFormat="1" applyFont="1" applyFill="1" applyBorder="1" applyAlignment="1">
      <alignment horizontal="left" vertical="center"/>
    </xf>
    <xf numFmtId="0" fontId="15" fillId="0" borderId="9" xfId="0" applyFont="1" applyBorder="1" applyAlignment="1">
      <alignment horizontal="right" vertical="center"/>
    </xf>
    <xf numFmtId="2" fontId="15" fillId="0" borderId="1" xfId="8" applyNumberFormat="1" applyFont="1" applyFill="1" applyBorder="1" applyAlignment="1">
      <alignment horizontal="center" vertical="center" wrapText="1"/>
    </xf>
    <xf numFmtId="0" fontId="17" fillId="0" borderId="1" xfId="0" applyFont="1" applyBorder="1"/>
    <xf numFmtId="2" fontId="15" fillId="0" borderId="9" xfId="8" applyNumberFormat="1" applyFont="1" applyFill="1" applyBorder="1" applyAlignment="1">
      <alignment horizontal="right" vertical="center" wrapText="1"/>
    </xf>
    <xf numFmtId="0" fontId="15" fillId="0" borderId="1" xfId="0" applyFont="1" applyBorder="1" applyAlignment="1">
      <alignment horizontal="center" vertical="center" wrapText="1"/>
    </xf>
    <xf numFmtId="0" fontId="15" fillId="0" borderId="0" xfId="0" applyFont="1" applyAlignment="1">
      <alignment wrapText="1"/>
    </xf>
    <xf numFmtId="0" fontId="15" fillId="0" borderId="33" xfId="0" applyFont="1" applyBorder="1"/>
    <xf numFmtId="0" fontId="15" fillId="0" borderId="0" xfId="6" applyFont="1"/>
    <xf numFmtId="1" fontId="15" fillId="0" borderId="1" xfId="0" applyNumberFormat="1" applyFont="1" applyBorder="1" applyAlignment="1">
      <alignment horizontal="center" vertical="center"/>
    </xf>
    <xf numFmtId="0" fontId="17" fillId="0" borderId="0" xfId="0" applyFont="1" applyFill="1" applyBorder="1"/>
    <xf numFmtId="0" fontId="15" fillId="0" borderId="1" xfId="0" applyFont="1" applyFill="1" applyBorder="1" applyAlignment="1">
      <alignment horizontal="center" vertical="center"/>
    </xf>
    <xf numFmtId="0" fontId="17" fillId="0" borderId="1" xfId="0" applyFont="1" applyBorder="1" applyAlignment="1">
      <alignment horizontal="center" vertical="center" wrapText="1"/>
    </xf>
    <xf numFmtId="2" fontId="17" fillId="0" borderId="1" xfId="0" applyNumberFormat="1"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Fill="1" applyBorder="1" applyAlignment="1">
      <alignment horizontal="center" vertical="center"/>
    </xf>
    <xf numFmtId="3" fontId="15" fillId="0" borderId="1" xfId="0" applyNumberFormat="1" applyFont="1" applyFill="1" applyBorder="1" applyAlignment="1">
      <alignment horizontal="center" vertical="center" wrapText="1"/>
    </xf>
    <xf numFmtId="0" fontId="20" fillId="0" borderId="0" xfId="0" applyFont="1" applyBorder="1"/>
    <xf numFmtId="0" fontId="17" fillId="0" borderId="0" xfId="0" applyFont="1" applyAlignment="1">
      <alignment horizontal="center"/>
    </xf>
    <xf numFmtId="0" fontId="17" fillId="0" borderId="0" xfId="0" applyFont="1" applyBorder="1" applyAlignment="1">
      <alignment horizontal="center" vertical="center" wrapText="1"/>
    </xf>
    <xf numFmtId="0" fontId="17" fillId="13" borderId="16" xfId="0" applyFont="1" applyFill="1" applyBorder="1" applyAlignment="1"/>
    <xf numFmtId="0" fontId="15" fillId="0" borderId="4" xfId="0" applyFont="1" applyBorder="1" applyAlignment="1">
      <alignment horizontal="center" vertical="center"/>
    </xf>
    <xf numFmtId="0" fontId="20" fillId="0" borderId="0" xfId="0" applyFont="1" applyAlignment="1">
      <alignment horizontal="center" vertical="center"/>
    </xf>
    <xf numFmtId="0" fontId="20" fillId="8" borderId="0" xfId="0" applyFont="1" applyFill="1" applyBorder="1" applyAlignment="1">
      <alignment horizontal="center" vertical="center"/>
    </xf>
    <xf numFmtId="0" fontId="17" fillId="8" borderId="4" xfId="0" applyFont="1" applyFill="1" applyBorder="1" applyAlignment="1">
      <alignment horizontal="center" vertical="center"/>
    </xf>
    <xf numFmtId="2" fontId="17" fillId="0" borderId="1" xfId="8" applyNumberFormat="1" applyFont="1" applyFill="1" applyBorder="1" applyAlignment="1">
      <alignment horizontal="center" vertical="center"/>
    </xf>
    <xf numFmtId="0" fontId="15" fillId="0" borderId="16"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horizontal="left" vertical="center"/>
    </xf>
    <xf numFmtId="0" fontId="17" fillId="0" borderId="9" xfId="0" applyFont="1" applyBorder="1" applyAlignment="1">
      <alignment wrapText="1"/>
    </xf>
    <xf numFmtId="0" fontId="17" fillId="0" borderId="9" xfId="0" applyFont="1" applyBorder="1" applyAlignment="1">
      <alignment horizontal="center" vertical="center" wrapText="1"/>
    </xf>
    <xf numFmtId="0" fontId="15" fillId="13" borderId="1" xfId="0" applyFont="1" applyFill="1" applyBorder="1" applyAlignment="1">
      <alignment horizontal="center" vertical="center"/>
    </xf>
    <xf numFmtId="2" fontId="15" fillId="0" borderId="0" xfId="0" applyNumberFormat="1" applyFont="1" applyAlignment="1">
      <alignment horizontal="center" vertical="center"/>
    </xf>
    <xf numFmtId="0" fontId="17" fillId="0" borderId="0" xfId="0" applyFont="1" applyAlignment="1">
      <alignment horizontal="left" vertical="center"/>
    </xf>
    <xf numFmtId="168" fontId="17" fillId="0" borderId="9" xfId="7" applyNumberFormat="1" applyFont="1" applyFill="1" applyBorder="1" applyAlignment="1">
      <alignment horizontal="left" vertical="center"/>
    </xf>
    <xf numFmtId="3" fontId="15" fillId="0" borderId="9" xfId="0" applyNumberFormat="1" applyFont="1" applyFill="1" applyBorder="1" applyAlignment="1">
      <alignment horizontal="justify" vertical="center" wrapText="1"/>
    </xf>
    <xf numFmtId="3" fontId="17" fillId="0" borderId="1"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7" fillId="13" borderId="33" xfId="0" applyFont="1" applyFill="1" applyBorder="1" applyAlignment="1">
      <alignment wrapText="1"/>
    </xf>
    <xf numFmtId="0" fontId="17" fillId="13" borderId="16" xfId="0" applyFont="1" applyFill="1" applyBorder="1" applyAlignment="1">
      <alignment horizontal="center" vertical="center" wrapText="1"/>
    </xf>
    <xf numFmtId="0" fontId="17" fillId="0" borderId="9" xfId="0" applyFont="1" applyBorder="1" applyAlignment="1">
      <alignment horizontal="center"/>
    </xf>
    <xf numFmtId="0" fontId="17" fillId="0" borderId="9" xfId="9" applyFont="1" applyFill="1" applyBorder="1" applyAlignment="1">
      <alignment vertical="center"/>
    </xf>
    <xf numFmtId="0" fontId="15" fillId="0" borderId="9" xfId="5" applyFont="1" applyFill="1" applyBorder="1" applyAlignment="1">
      <alignment horizontal="right" vertical="center" wrapText="1"/>
    </xf>
    <xf numFmtId="43" fontId="15" fillId="0" borderId="1" xfId="7" applyFont="1" applyFill="1" applyBorder="1" applyAlignment="1">
      <alignment horizontal="center" vertical="center"/>
    </xf>
    <xf numFmtId="0" fontId="17" fillId="0" borderId="9" xfId="5" applyFont="1" applyFill="1" applyBorder="1" applyAlignment="1">
      <alignment horizontal="left" vertical="center" wrapText="1"/>
    </xf>
    <xf numFmtId="0" fontId="15" fillId="0" borderId="0" xfId="0" applyFont="1" applyFill="1"/>
    <xf numFmtId="0" fontId="15" fillId="0" borderId="0" xfId="0" applyFont="1" applyFill="1" applyAlignment="1">
      <alignment horizontal="center" vertical="center"/>
    </xf>
    <xf numFmtId="0" fontId="15" fillId="0" borderId="1"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20" fillId="0" borderId="9" xfId="0" applyFont="1" applyBorder="1" applyAlignment="1">
      <alignment horizontal="right"/>
    </xf>
    <xf numFmtId="0" fontId="15" fillId="0" borderId="9" xfId="0" applyFont="1" applyBorder="1" applyAlignment="1">
      <alignment vertical="center"/>
    </xf>
    <xf numFmtId="0" fontId="15" fillId="8" borderId="1" xfId="0" applyFont="1" applyFill="1" applyBorder="1" applyAlignment="1">
      <alignment horizontal="center" vertical="center"/>
    </xf>
    <xf numFmtId="0" fontId="15" fillId="13" borderId="16" xfId="0" applyFont="1" applyFill="1" applyBorder="1" applyAlignment="1">
      <alignment horizontal="center" vertical="center"/>
    </xf>
    <xf numFmtId="0" fontId="15" fillId="0" borderId="0" xfId="0" applyFont="1" applyFill="1" applyBorder="1"/>
    <xf numFmtId="0" fontId="15" fillId="0" borderId="0" xfId="0" applyFont="1" applyBorder="1"/>
    <xf numFmtId="2" fontId="15" fillId="0" borderId="1" xfId="0" applyNumberFormat="1" applyFont="1" applyBorder="1" applyAlignment="1">
      <alignment horizontal="center" vertical="center" wrapText="1"/>
    </xf>
    <xf numFmtId="1" fontId="15" fillId="0" borderId="0" xfId="0" applyNumberFormat="1" applyFont="1"/>
    <xf numFmtId="167" fontId="15" fillId="0" borderId="0" xfId="0" applyNumberFormat="1" applyFont="1"/>
    <xf numFmtId="167" fontId="15" fillId="0" borderId="0" xfId="0" applyNumberFormat="1" applyFont="1" applyAlignment="1">
      <alignment horizontal="center" vertical="center"/>
    </xf>
    <xf numFmtId="2" fontId="15" fillId="0" borderId="1" xfId="0" applyNumberFormat="1" applyFont="1" applyBorder="1" applyAlignment="1">
      <alignment horizontal="center" vertical="center"/>
    </xf>
    <xf numFmtId="0" fontId="15" fillId="8" borderId="9" xfId="0" applyFont="1" applyFill="1" applyBorder="1" applyAlignment="1">
      <alignment horizontal="left" vertical="top" wrapText="1"/>
    </xf>
    <xf numFmtId="165" fontId="15" fillId="0" borderId="1" xfId="0" applyNumberFormat="1" applyFont="1" applyBorder="1" applyAlignment="1">
      <alignment horizontal="center" vertical="center"/>
    </xf>
    <xf numFmtId="2" fontId="17" fillId="0" borderId="9" xfId="0" applyNumberFormat="1" applyFont="1" applyBorder="1" applyAlignment="1">
      <alignment horizontal="center" vertical="center"/>
    </xf>
    <xf numFmtId="168" fontId="15" fillId="0" borderId="1" xfId="7" applyNumberFormat="1" applyFont="1" applyBorder="1" applyAlignment="1">
      <alignment horizontal="center" vertical="center"/>
    </xf>
    <xf numFmtId="0" fontId="15" fillId="0" borderId="9" xfId="0" applyFont="1" applyBorder="1" applyAlignment="1">
      <alignment vertical="center" wrapText="1"/>
    </xf>
    <xf numFmtId="0" fontId="15" fillId="0" borderId="0" xfId="0" applyFont="1" applyFill="1" applyBorder="1" applyAlignment="1">
      <alignment horizontal="center" vertical="center"/>
    </xf>
    <xf numFmtId="0" fontId="17" fillId="0" borderId="0" xfId="0" applyFont="1" applyFill="1"/>
    <xf numFmtId="1" fontId="15" fillId="0" borderId="0" xfId="0" applyNumberFormat="1" applyFont="1" applyAlignment="1">
      <alignment horizontal="center" vertical="center"/>
    </xf>
    <xf numFmtId="0" fontId="20" fillId="0" borderId="9" xfId="0" applyFont="1" applyBorder="1" applyAlignment="1">
      <alignment horizontal="right" vertical="center" wrapText="1"/>
    </xf>
    <xf numFmtId="0" fontId="17" fillId="8" borderId="0" xfId="0" applyFont="1" applyFill="1"/>
    <xf numFmtId="0" fontId="15" fillId="8" borderId="0" xfId="0" applyFont="1" applyFill="1"/>
    <xf numFmtId="0" fontId="20" fillId="0" borderId="9" xfId="0" applyFont="1" applyBorder="1" applyAlignment="1">
      <alignment horizontal="right" vertical="center"/>
    </xf>
    <xf numFmtId="169" fontId="15" fillId="0" borderId="1" xfId="0" applyNumberFormat="1" applyFont="1" applyBorder="1" applyAlignment="1">
      <alignment horizontal="center" vertical="center"/>
    </xf>
    <xf numFmtId="0" fontId="15" fillId="0" borderId="0" xfId="0" applyFont="1" applyAlignment="1">
      <alignment horizontal="center" vertical="center" wrapText="1"/>
    </xf>
    <xf numFmtId="43" fontId="15" fillId="8" borderId="1" xfId="7" applyFont="1" applyFill="1" applyBorder="1" applyAlignment="1">
      <alignment horizontal="center" vertical="center"/>
    </xf>
    <xf numFmtId="0" fontId="17" fillId="0" borderId="9" xfId="0" applyFont="1" applyBorder="1" applyAlignment="1">
      <alignment vertical="center" wrapText="1"/>
    </xf>
    <xf numFmtId="0" fontId="15" fillId="13" borderId="16" xfId="0" applyFont="1" applyFill="1" applyBorder="1" applyAlignment="1">
      <alignment horizontal="center" vertical="center" wrapText="1"/>
    </xf>
    <xf numFmtId="0" fontId="15" fillId="0" borderId="0" xfId="0" applyFont="1" applyFill="1" applyBorder="1" applyAlignment="1">
      <alignment wrapText="1"/>
    </xf>
    <xf numFmtId="0" fontId="15" fillId="0" borderId="0" xfId="0" applyFont="1" applyFill="1" applyBorder="1" applyAlignment="1">
      <alignment horizontal="center" vertical="center" wrapText="1"/>
    </xf>
    <xf numFmtId="168" fontId="15" fillId="0" borderId="9" xfId="7" applyNumberFormat="1" applyFont="1" applyBorder="1"/>
    <xf numFmtId="168" fontId="15" fillId="0" borderId="1" xfId="7" applyNumberFormat="1" applyFont="1" applyBorder="1"/>
    <xf numFmtId="0" fontId="17" fillId="0" borderId="9" xfId="0" applyFont="1" applyBorder="1" applyAlignment="1">
      <alignment horizontal="left" vertical="center"/>
    </xf>
    <xf numFmtId="0" fontId="15" fillId="0" borderId="0" xfId="0" applyFont="1" applyBorder="1" applyAlignment="1">
      <alignment horizontal="center" vertical="center"/>
    </xf>
    <xf numFmtId="0" fontId="17" fillId="0" borderId="0" xfId="0" applyFont="1" applyAlignment="1">
      <alignment horizontal="left" vertical="center" wrapText="1"/>
    </xf>
    <xf numFmtId="3" fontId="15" fillId="0" borderId="1" xfId="0" applyNumberFormat="1" applyFont="1" applyFill="1" applyBorder="1" applyAlignment="1">
      <alignment horizontal="center" vertical="center"/>
    </xf>
    <xf numFmtId="0" fontId="17" fillId="13" borderId="33" xfId="0" applyFont="1" applyFill="1" applyBorder="1" applyAlignment="1"/>
    <xf numFmtId="0" fontId="15" fillId="8" borderId="0" xfId="0" applyFont="1" applyFill="1" applyBorder="1" applyAlignment="1">
      <alignment wrapText="1"/>
    </xf>
    <xf numFmtId="0" fontId="15" fillId="8" borderId="0"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9" xfId="0" applyFont="1" applyFill="1" applyBorder="1" applyAlignment="1">
      <alignment wrapText="1"/>
    </xf>
    <xf numFmtId="0" fontId="17" fillId="8" borderId="1" xfId="0" applyFont="1" applyFill="1" applyBorder="1" applyAlignment="1">
      <alignment wrapText="1"/>
    </xf>
    <xf numFmtId="0" fontId="9" fillId="0" borderId="0" xfId="0" applyFont="1" applyAlignment="1">
      <alignment horizontal="center" vertical="center" wrapText="1"/>
    </xf>
    <xf numFmtId="0" fontId="2" fillId="0" borderId="0" xfId="0" applyFont="1" applyAlignment="1">
      <alignment horizontal="left" vertical="center"/>
    </xf>
    <xf numFmtId="41" fontId="0" fillId="0" borderId="1" xfId="0" applyNumberFormat="1" applyFont="1" applyBorder="1" applyAlignment="1">
      <alignment horizontal="left" vertical="center"/>
    </xf>
    <xf numFmtId="41" fontId="0" fillId="0" borderId="0" xfId="0" applyNumberFormat="1" applyFont="1" applyAlignment="1">
      <alignment horizontal="left" vertical="center"/>
    </xf>
    <xf numFmtId="41" fontId="17" fillId="13" borderId="1" xfId="0" applyNumberFormat="1" applyFont="1" applyFill="1" applyBorder="1" applyAlignment="1">
      <alignment horizontal="left" vertical="center"/>
    </xf>
    <xf numFmtId="41" fontId="17" fillId="13" borderId="10" xfId="0" applyNumberFormat="1" applyFont="1" applyFill="1" applyBorder="1" applyAlignment="1">
      <alignment horizontal="left" vertical="center"/>
    </xf>
    <xf numFmtId="41" fontId="2" fillId="13" borderId="1" xfId="0" applyNumberFormat="1" applyFont="1" applyFill="1" applyBorder="1" applyAlignment="1">
      <alignment horizontal="left" vertical="center"/>
    </xf>
    <xf numFmtId="41" fontId="2" fillId="13" borderId="10" xfId="0" applyNumberFormat="1" applyFont="1" applyFill="1" applyBorder="1" applyAlignment="1">
      <alignment horizontal="left" vertical="center"/>
    </xf>
    <xf numFmtId="41" fontId="17" fillId="14" borderId="16" xfId="0" applyNumberFormat="1" applyFont="1" applyFill="1" applyBorder="1" applyAlignment="1">
      <alignment horizontal="left" vertical="center"/>
    </xf>
    <xf numFmtId="41" fontId="17" fillId="14" borderId="17" xfId="0" applyNumberFormat="1" applyFont="1" applyFill="1" applyBorder="1" applyAlignment="1">
      <alignment horizontal="left" vertical="center"/>
    </xf>
    <xf numFmtId="0" fontId="0" fillId="0" borderId="1" xfId="0" applyBorder="1" applyAlignment="1">
      <alignment horizontal="center" vertical="center"/>
    </xf>
    <xf numFmtId="0" fontId="0" fillId="0" borderId="9" xfId="0" applyBorder="1"/>
    <xf numFmtId="2" fontId="0" fillId="0" borderId="1" xfId="0" applyNumberFormat="1" applyBorder="1" applyAlignment="1">
      <alignment horizontal="center" vertical="center"/>
    </xf>
    <xf numFmtId="168" fontId="17" fillId="8" borderId="1" xfId="7" applyNumberFormat="1" applyFont="1" applyFill="1" applyBorder="1" applyAlignment="1">
      <alignment horizontal="center" vertical="center"/>
    </xf>
    <xf numFmtId="0" fontId="15" fillId="8" borderId="9" xfId="0" applyFont="1" applyFill="1" applyBorder="1" applyAlignment="1">
      <alignment horizontal="left" vertical="center"/>
    </xf>
    <xf numFmtId="0" fontId="17" fillId="0" borderId="0" xfId="6" applyFont="1"/>
    <xf numFmtId="0" fontId="22" fillId="0" borderId="9" xfId="0" applyFont="1" applyBorder="1" applyAlignment="1">
      <alignment horizontal="right"/>
    </xf>
    <xf numFmtId="9" fontId="17" fillId="0" borderId="1" xfId="0" applyNumberFormat="1" applyFont="1" applyBorder="1" applyAlignment="1">
      <alignment horizontal="center" vertical="center"/>
    </xf>
    <xf numFmtId="166" fontId="17" fillId="0" borderId="1" xfId="0" applyNumberFormat="1" applyFont="1" applyBorder="1" applyAlignment="1">
      <alignment horizontal="center" vertical="center"/>
    </xf>
    <xf numFmtId="0" fontId="0" fillId="0" borderId="1" xfId="0" applyBorder="1"/>
    <xf numFmtId="9" fontId="15" fillId="0" borderId="1" xfId="1" applyFont="1" applyBorder="1" applyAlignment="1">
      <alignment horizontal="center" vertical="center" wrapText="1"/>
    </xf>
    <xf numFmtId="1" fontId="15" fillId="0" borderId="1" xfId="0" applyNumberFormat="1" applyFont="1" applyBorder="1" applyAlignment="1">
      <alignment horizontal="center" vertical="center" wrapText="1"/>
    </xf>
    <xf numFmtId="9" fontId="15" fillId="8" borderId="1" xfId="0" applyNumberFormat="1" applyFont="1" applyFill="1" applyBorder="1" applyAlignment="1">
      <alignment horizontal="center" vertical="center"/>
    </xf>
    <xf numFmtId="2" fontId="15" fillId="0" borderId="9" xfId="0" applyNumberFormat="1" applyFont="1" applyBorder="1" applyAlignment="1">
      <alignment horizontal="left" vertical="center"/>
    </xf>
    <xf numFmtId="0" fontId="17" fillId="5" borderId="33" xfId="0" applyFont="1" applyFill="1" applyBorder="1" applyAlignment="1">
      <alignment horizontal="center" vertical="center"/>
    </xf>
    <xf numFmtId="0" fontId="17" fillId="5" borderId="16" xfId="0" applyFont="1" applyFill="1" applyBorder="1" applyAlignment="1">
      <alignment horizontal="center" vertical="center"/>
    </xf>
    <xf numFmtId="0" fontId="17" fillId="5" borderId="9" xfId="0" applyFont="1" applyFill="1" applyBorder="1"/>
    <xf numFmtId="0" fontId="17" fillId="5" borderId="1" xfId="0" applyFont="1" applyFill="1" applyBorder="1" applyAlignment="1">
      <alignment horizontal="center" vertical="center"/>
    </xf>
    <xf numFmtId="0" fontId="15" fillId="0" borderId="1" xfId="0" applyFont="1" applyBorder="1" applyAlignment="1">
      <alignment horizontal="center" wrapText="1"/>
    </xf>
    <xf numFmtId="0" fontId="0" fillId="0" borderId="1" xfId="0" applyBorder="1" applyAlignment="1">
      <alignment horizontal="center"/>
    </xf>
    <xf numFmtId="0" fontId="17" fillId="0" borderId="1" xfId="0" applyFont="1" applyBorder="1" applyAlignment="1">
      <alignment horizontal="center"/>
    </xf>
    <xf numFmtId="9" fontId="17" fillId="0" borderId="1" xfId="0" applyNumberFormat="1" applyFont="1" applyBorder="1" applyAlignment="1">
      <alignment horizontal="center"/>
    </xf>
    <xf numFmtId="0" fontId="15" fillId="5" borderId="1" xfId="0" applyFont="1" applyFill="1" applyBorder="1" applyAlignment="1">
      <alignment horizontal="center"/>
    </xf>
    <xf numFmtId="168" fontId="19" fillId="13" borderId="16" xfId="7" applyNumberFormat="1" applyFont="1" applyFill="1" applyBorder="1" applyAlignment="1">
      <alignment horizontal="center" vertical="center"/>
    </xf>
    <xf numFmtId="168" fontId="17" fillId="13" borderId="16" xfId="7" applyNumberFormat="1" applyFont="1" applyFill="1" applyBorder="1" applyAlignment="1">
      <alignment horizontal="center" vertical="center"/>
    </xf>
    <xf numFmtId="168" fontId="17" fillId="0" borderId="0" xfId="7" applyNumberFormat="1" applyFont="1" applyAlignment="1">
      <alignment horizontal="center"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7" fillId="5" borderId="33" xfId="0" applyFont="1" applyFill="1" applyBorder="1"/>
    <xf numFmtId="0" fontId="17" fillId="5" borderId="9" xfId="0" applyFont="1" applyFill="1" applyBorder="1" applyAlignment="1">
      <alignment horizontal="left" vertical="center" wrapText="1"/>
    </xf>
    <xf numFmtId="0" fontId="17" fillId="5" borderId="9" xfId="0" applyFont="1" applyFill="1" applyBorder="1" applyAlignment="1">
      <alignment vertical="center"/>
    </xf>
    <xf numFmtId="0" fontId="17" fillId="5" borderId="9" xfId="0" applyFont="1" applyFill="1" applyBorder="1" applyAlignment="1">
      <alignment horizontal="left"/>
    </xf>
    <xf numFmtId="0" fontId="17" fillId="5" borderId="1" xfId="0" applyFont="1" applyFill="1" applyBorder="1" applyAlignment="1">
      <alignment horizontal="left" vertical="center"/>
    </xf>
    <xf numFmtId="0" fontId="17" fillId="5" borderId="9" xfId="0" applyFont="1" applyFill="1" applyBorder="1" applyAlignment="1">
      <alignment wrapText="1"/>
    </xf>
    <xf numFmtId="0" fontId="17" fillId="5" borderId="1" xfId="0" applyFont="1" applyFill="1" applyBorder="1" applyAlignment="1">
      <alignment horizontal="center" vertical="center" wrapText="1"/>
    </xf>
    <xf numFmtId="0" fontId="19" fillId="5" borderId="9" xfId="0" applyFont="1" applyFill="1" applyBorder="1"/>
    <xf numFmtId="0" fontId="20" fillId="5" borderId="1" xfId="0" applyFont="1" applyFill="1" applyBorder="1" applyAlignment="1">
      <alignment horizontal="center" vertical="center"/>
    </xf>
    <xf numFmtId="168" fontId="17" fillId="5" borderId="1" xfId="7" applyNumberFormat="1" applyFont="1" applyFill="1" applyBorder="1" applyAlignment="1">
      <alignment horizontal="center" vertical="center"/>
    </xf>
    <xf numFmtId="2" fontId="17" fillId="0" borderId="1" xfId="0" applyNumberFormat="1" applyFont="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xf>
    <xf numFmtId="3" fontId="6" fillId="0" borderId="1" xfId="2"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12" fillId="0" borderId="0" xfId="2" applyFont="1" applyBorder="1" applyAlignment="1">
      <alignment horizontal="center" wrapText="1"/>
    </xf>
    <xf numFmtId="0" fontId="6" fillId="0" borderId="5" xfId="2" applyFont="1" applyFill="1" applyBorder="1" applyAlignment="1">
      <alignment horizontal="left" vertical="center" wrapText="1"/>
    </xf>
    <xf numFmtId="0" fontId="17" fillId="8" borderId="0" xfId="0" applyFont="1" applyFill="1" applyBorder="1" applyAlignment="1">
      <alignment horizontal="center" vertical="center" wrapText="1"/>
    </xf>
    <xf numFmtId="9" fontId="15" fillId="0" borderId="1" xfId="0" applyNumberFormat="1"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15" fillId="0" borderId="9" xfId="0" applyFont="1" applyBorder="1" applyAlignment="1">
      <alignment horizontal="center" vertical="center" wrapText="1"/>
    </xf>
    <xf numFmtId="0" fontId="0" fillId="0" borderId="9" xfId="0" applyFont="1" applyBorder="1" applyAlignment="1">
      <alignment vertical="center"/>
    </xf>
    <xf numFmtId="9" fontId="0" fillId="0" borderId="1" xfId="0" applyNumberFormat="1" applyFont="1" applyBorder="1" applyAlignment="1">
      <alignment horizontal="center" vertical="center"/>
    </xf>
    <xf numFmtId="1" fontId="15" fillId="0" borderId="9" xfId="0" applyNumberFormat="1" applyFont="1" applyBorder="1" applyAlignment="1">
      <alignment wrapText="1"/>
    </xf>
    <xf numFmtId="1" fontId="17" fillId="0" borderId="9" xfId="0" applyNumberFormat="1" applyFont="1" applyBorder="1" applyAlignment="1">
      <alignment horizontal="center" vertical="center"/>
    </xf>
    <xf numFmtId="0" fontId="17" fillId="0" borderId="36" xfId="0" applyFont="1" applyBorder="1" applyAlignment="1">
      <alignment horizontal="center" vertical="center" wrapText="1"/>
    </xf>
    <xf numFmtId="2" fontId="17" fillId="0" borderId="9" xfId="0" applyNumberFormat="1" applyFont="1" applyBorder="1" applyAlignment="1">
      <alignment horizontal="left" vertical="center"/>
    </xf>
    <xf numFmtId="0" fontId="17" fillId="0" borderId="9" xfId="0" applyFont="1" applyBorder="1" applyAlignment="1">
      <alignment vertical="center"/>
    </xf>
    <xf numFmtId="0" fontId="17" fillId="0" borderId="35" xfId="0" applyFont="1" applyBorder="1"/>
    <xf numFmtId="0" fontId="17" fillId="0" borderId="2" xfId="0" applyFont="1" applyBorder="1" applyAlignment="1">
      <alignment horizontal="center" vertical="center"/>
    </xf>
    <xf numFmtId="1" fontId="17" fillId="0" borderId="0" xfId="0" applyNumberFormat="1" applyFont="1" applyAlignment="1">
      <alignment horizontal="left" vertical="center"/>
    </xf>
    <xf numFmtId="0" fontId="17" fillId="8" borderId="1" xfId="0" applyFont="1" applyFill="1" applyBorder="1" applyAlignment="1">
      <alignment horizontal="left" vertical="center"/>
    </xf>
    <xf numFmtId="171" fontId="17" fillId="0" borderId="1" xfId="7" applyNumberFormat="1" applyFont="1" applyBorder="1" applyAlignment="1">
      <alignment horizontal="center" vertical="center"/>
    </xf>
    <xf numFmtId="171" fontId="17" fillId="8" borderId="1" xfId="7" applyNumberFormat="1" applyFont="1" applyFill="1" applyBorder="1" applyAlignment="1">
      <alignment horizontal="center" vertical="center"/>
    </xf>
    <xf numFmtId="168" fontId="15" fillId="0" borderId="0" xfId="7" applyNumberFormat="1" applyFont="1" applyAlignment="1">
      <alignment horizontal="center" vertical="center"/>
    </xf>
    <xf numFmtId="168" fontId="17" fillId="0" borderId="1" xfId="7" applyNumberFormat="1" applyFont="1" applyBorder="1" applyAlignment="1">
      <alignment horizontal="center" vertical="center"/>
    </xf>
    <xf numFmtId="168" fontId="15" fillId="0" borderId="0" xfId="7" applyNumberFormat="1" applyFont="1" applyFill="1" applyAlignment="1">
      <alignment horizontal="center" vertical="center"/>
    </xf>
    <xf numFmtId="168" fontId="15" fillId="8" borderId="0" xfId="7" applyNumberFormat="1" applyFont="1" applyFill="1" applyBorder="1" applyAlignment="1">
      <alignment horizontal="center" vertical="center"/>
    </xf>
    <xf numFmtId="168" fontId="17" fillId="0" borderId="1" xfId="7" applyNumberFormat="1" applyFont="1" applyBorder="1" applyAlignment="1">
      <alignment horizontal="center" vertical="center" wrapText="1"/>
    </xf>
    <xf numFmtId="168" fontId="15" fillId="0" borderId="1" xfId="7" applyNumberFormat="1" applyFont="1" applyFill="1" applyBorder="1" applyAlignment="1">
      <alignment horizontal="center" vertical="center"/>
    </xf>
    <xf numFmtId="168" fontId="17" fillId="0" borderId="1" xfId="7" applyNumberFormat="1" applyFont="1" applyFill="1" applyBorder="1" applyAlignment="1">
      <alignment horizontal="center" vertical="center"/>
    </xf>
    <xf numFmtId="168" fontId="17" fillId="13" borderId="1" xfId="7" applyNumberFormat="1" applyFont="1" applyFill="1" applyBorder="1" applyAlignment="1">
      <alignment horizontal="center" vertical="center"/>
    </xf>
    <xf numFmtId="168" fontId="15" fillId="0" borderId="1" xfId="7" applyNumberFormat="1" applyFont="1" applyFill="1" applyBorder="1" applyAlignment="1">
      <alignment horizontal="center" vertical="center" wrapText="1"/>
    </xf>
    <xf numFmtId="168" fontId="17" fillId="0" borderId="1" xfId="7" applyNumberFormat="1" applyFont="1" applyFill="1" applyBorder="1" applyAlignment="1">
      <alignment horizontal="center" vertical="center" wrapText="1"/>
    </xf>
    <xf numFmtId="168" fontId="17" fillId="0" borderId="0" xfId="7" applyNumberFormat="1" applyFont="1" applyFill="1" applyBorder="1" applyAlignment="1">
      <alignment horizontal="center" vertical="center" wrapText="1"/>
    </xf>
    <xf numFmtId="168" fontId="15" fillId="0" borderId="1" xfId="7" applyNumberFormat="1" applyFont="1" applyBorder="1" applyAlignment="1">
      <alignment horizontal="center" vertical="center" wrapText="1"/>
    </xf>
    <xf numFmtId="168" fontId="17" fillId="0" borderId="16" xfId="7" applyNumberFormat="1" applyFont="1" applyBorder="1" applyAlignment="1">
      <alignment horizontal="center" vertical="center"/>
    </xf>
    <xf numFmtId="168" fontId="15" fillId="8" borderId="1" xfId="7" applyNumberFormat="1" applyFont="1" applyFill="1" applyBorder="1" applyAlignment="1">
      <alignment horizontal="center" vertical="center"/>
    </xf>
    <xf numFmtId="168" fontId="17" fillId="5" borderId="16" xfId="7" applyNumberFormat="1" applyFont="1" applyFill="1" applyBorder="1" applyAlignment="1">
      <alignment horizontal="center" vertical="center"/>
    </xf>
    <xf numFmtId="168" fontId="17" fillId="0" borderId="0" xfId="7" applyNumberFormat="1" applyFont="1" applyFill="1" applyBorder="1" applyAlignment="1">
      <alignment horizontal="center" vertical="center"/>
    </xf>
    <xf numFmtId="168" fontId="17" fillId="0" borderId="36" xfId="7" applyNumberFormat="1" applyFont="1" applyBorder="1" applyAlignment="1">
      <alignment horizontal="center" vertical="center" wrapText="1"/>
    </xf>
    <xf numFmtId="168" fontId="17" fillId="13" borderId="16" xfId="7" applyNumberFormat="1" applyFont="1" applyFill="1" applyBorder="1" applyAlignment="1">
      <alignment horizontal="center" vertical="center" wrapText="1"/>
    </xf>
    <xf numFmtId="168" fontId="17" fillId="0" borderId="0" xfId="7" applyNumberFormat="1" applyFont="1" applyAlignment="1">
      <alignment horizontal="center" vertical="center" wrapText="1"/>
    </xf>
    <xf numFmtId="168" fontId="15" fillId="0" borderId="0" xfId="7" applyNumberFormat="1" applyFont="1" applyAlignment="1">
      <alignment horizontal="center" vertical="center" wrapText="1"/>
    </xf>
    <xf numFmtId="168" fontId="17" fillId="0" borderId="2" xfId="7" applyNumberFormat="1" applyFont="1" applyBorder="1" applyAlignment="1">
      <alignment horizontal="center" vertical="center"/>
    </xf>
    <xf numFmtId="168" fontId="15" fillId="0" borderId="0" xfId="7" applyNumberFormat="1" applyFont="1" applyFill="1" applyBorder="1" applyAlignment="1">
      <alignment horizontal="center" vertical="center"/>
    </xf>
    <xf numFmtId="168" fontId="15" fillId="0" borderId="16" xfId="7" applyNumberFormat="1" applyFont="1" applyBorder="1" applyAlignment="1">
      <alignment horizontal="center" vertical="center"/>
    </xf>
    <xf numFmtId="168" fontId="15" fillId="0" borderId="0" xfId="7" applyNumberFormat="1" applyFont="1" applyBorder="1" applyAlignment="1">
      <alignment horizontal="center" vertical="center"/>
    </xf>
    <xf numFmtId="168" fontId="15" fillId="0" borderId="0" xfId="7" applyNumberFormat="1" applyFont="1" applyFill="1" applyBorder="1" applyAlignment="1">
      <alignment horizontal="center" vertical="center" wrapText="1"/>
    </xf>
    <xf numFmtId="168" fontId="17" fillId="5" borderId="1" xfId="7" applyNumberFormat="1" applyFont="1" applyFill="1" applyBorder="1" applyAlignment="1">
      <alignment horizontal="center" vertical="center" wrapText="1"/>
    </xf>
    <xf numFmtId="168" fontId="15" fillId="8" borderId="0" xfId="7" applyNumberFormat="1" applyFont="1" applyFill="1" applyBorder="1" applyAlignment="1">
      <alignment horizontal="center" vertical="center" wrapText="1"/>
    </xf>
    <xf numFmtId="168" fontId="17" fillId="8" borderId="1" xfId="7" applyNumberFormat="1" applyFont="1" applyFill="1" applyBorder="1" applyAlignment="1">
      <alignment horizontal="center" vertical="center" wrapText="1"/>
    </xf>
    <xf numFmtId="43" fontId="17" fillId="0" borderId="1" xfId="7" applyNumberFormat="1" applyFont="1" applyBorder="1" applyAlignment="1">
      <alignment horizontal="center" vertical="center"/>
    </xf>
    <xf numFmtId="0" fontId="15" fillId="8" borderId="1" xfId="0" applyFont="1" applyFill="1" applyBorder="1"/>
    <xf numFmtId="43" fontId="15" fillId="0" borderId="1" xfId="7" applyNumberFormat="1" applyFont="1" applyBorder="1" applyAlignment="1">
      <alignment horizontal="center" vertical="center"/>
    </xf>
    <xf numFmtId="43" fontId="17" fillId="8" borderId="1" xfId="7" applyNumberFormat="1" applyFont="1" applyFill="1" applyBorder="1" applyAlignment="1">
      <alignment horizontal="center" vertical="center"/>
    </xf>
    <xf numFmtId="43" fontId="17" fillId="0" borderId="1" xfId="7" applyNumberFormat="1" applyFont="1" applyBorder="1" applyAlignment="1">
      <alignment horizontal="center" vertical="center" wrapText="1"/>
    </xf>
    <xf numFmtId="168" fontId="17" fillId="0" borderId="5" xfId="7" applyNumberFormat="1" applyFont="1" applyBorder="1" applyAlignment="1">
      <alignment horizontal="center" vertical="center"/>
    </xf>
    <xf numFmtId="168" fontId="15" fillId="0" borderId="5" xfId="7" applyNumberFormat="1" applyFont="1" applyBorder="1" applyAlignment="1">
      <alignment horizontal="center" vertical="center"/>
    </xf>
    <xf numFmtId="168" fontId="17" fillId="8" borderId="5" xfId="7" applyNumberFormat="1" applyFont="1" applyFill="1" applyBorder="1" applyAlignment="1">
      <alignment horizontal="center" vertical="center"/>
    </xf>
    <xf numFmtId="168" fontId="17" fillId="0" borderId="5" xfId="7" applyNumberFormat="1" applyFont="1" applyBorder="1" applyAlignment="1">
      <alignment horizontal="center" vertical="center" wrapText="1"/>
    </xf>
    <xf numFmtId="168" fontId="15" fillId="0" borderId="5" xfId="7" applyNumberFormat="1" applyFont="1" applyFill="1" applyBorder="1" applyAlignment="1">
      <alignment horizontal="center" vertical="center"/>
    </xf>
    <xf numFmtId="168" fontId="17" fillId="0" borderId="5" xfId="7" applyNumberFormat="1" applyFont="1" applyFill="1" applyBorder="1" applyAlignment="1">
      <alignment horizontal="center" vertical="center"/>
    </xf>
    <xf numFmtId="168" fontId="17" fillId="13" borderId="14" xfId="7" applyNumberFormat="1" applyFont="1" applyFill="1" applyBorder="1" applyAlignment="1">
      <alignment horizontal="center" vertical="center"/>
    </xf>
    <xf numFmtId="168" fontId="17" fillId="13" borderId="5" xfId="7" applyNumberFormat="1" applyFont="1" applyFill="1" applyBorder="1" applyAlignment="1">
      <alignment horizontal="center" vertical="center"/>
    </xf>
    <xf numFmtId="168" fontId="15" fillId="0" borderId="19" xfId="7" applyNumberFormat="1" applyFont="1" applyBorder="1" applyAlignment="1">
      <alignment horizontal="center" vertical="center"/>
    </xf>
    <xf numFmtId="168" fontId="17" fillId="0" borderId="19" xfId="7" applyNumberFormat="1" applyFont="1" applyBorder="1" applyAlignment="1">
      <alignment horizontal="center" vertical="center"/>
    </xf>
    <xf numFmtId="168" fontId="15" fillId="0" borderId="5" xfId="7" applyNumberFormat="1" applyFont="1" applyFill="1" applyBorder="1" applyAlignment="1">
      <alignment horizontal="center" vertical="center" wrapText="1"/>
    </xf>
    <xf numFmtId="168" fontId="15" fillId="0" borderId="5" xfId="7" applyNumberFormat="1" applyFont="1" applyBorder="1" applyAlignment="1">
      <alignment horizontal="center" vertical="center" wrapText="1"/>
    </xf>
    <xf numFmtId="168" fontId="17" fillId="0" borderId="14" xfId="7" applyNumberFormat="1" applyFont="1" applyBorder="1" applyAlignment="1">
      <alignment horizontal="center" vertical="center"/>
    </xf>
    <xf numFmtId="168" fontId="15" fillId="8" borderId="5" xfId="7" applyNumberFormat="1" applyFont="1" applyFill="1" applyBorder="1" applyAlignment="1">
      <alignment horizontal="center" vertical="center"/>
    </xf>
    <xf numFmtId="168" fontId="17" fillId="5" borderId="14" xfId="7" applyNumberFormat="1" applyFont="1" applyFill="1" applyBorder="1" applyAlignment="1">
      <alignment horizontal="center" vertical="center"/>
    </xf>
    <xf numFmtId="168" fontId="17" fillId="5" borderId="5" xfId="7" applyNumberFormat="1" applyFont="1" applyFill="1" applyBorder="1" applyAlignment="1">
      <alignment horizontal="center" vertical="center"/>
    </xf>
    <xf numFmtId="168" fontId="17" fillId="0" borderId="0" xfId="7" applyNumberFormat="1" applyFont="1" applyBorder="1" applyAlignment="1">
      <alignment horizontal="center" vertical="center" wrapText="1"/>
    </xf>
    <xf numFmtId="168" fontId="15" fillId="0" borderId="14" xfId="7" applyNumberFormat="1" applyFont="1" applyBorder="1" applyAlignment="1">
      <alignment horizontal="center" vertical="center"/>
    </xf>
    <xf numFmtId="168" fontId="17" fillId="8" borderId="5" xfId="7" applyNumberFormat="1" applyFont="1" applyFill="1" applyBorder="1" applyAlignment="1">
      <alignment horizontal="center" vertical="center" wrapText="1"/>
    </xf>
    <xf numFmtId="43" fontId="17" fillId="0" borderId="5" xfId="7" applyNumberFormat="1" applyFont="1" applyBorder="1" applyAlignment="1">
      <alignment horizontal="center" vertical="center"/>
    </xf>
    <xf numFmtId="168" fontId="15" fillId="0" borderId="5" xfId="7" applyNumberFormat="1" applyFont="1" applyBorder="1" applyAlignment="1">
      <alignment vertical="center"/>
    </xf>
    <xf numFmtId="168" fontId="17" fillId="0" borderId="5" xfId="7" applyNumberFormat="1" applyFont="1" applyBorder="1" applyAlignment="1">
      <alignment vertical="center" wrapText="1"/>
    </xf>
    <xf numFmtId="168" fontId="15" fillId="0" borderId="5" xfId="7" applyNumberFormat="1" applyFont="1" applyBorder="1" applyAlignment="1">
      <alignment vertical="center" wrapText="1"/>
    </xf>
    <xf numFmtId="0" fontId="17" fillId="13" borderId="37" xfId="0" applyFont="1" applyFill="1" applyBorder="1" applyAlignment="1">
      <alignment horizontal="center" wrapText="1"/>
    </xf>
    <xf numFmtId="0" fontId="19" fillId="13" borderId="14" xfId="0" applyFont="1" applyFill="1" applyBorder="1" applyAlignment="1">
      <alignment horizontal="center" wrapText="1"/>
    </xf>
    <xf numFmtId="0" fontId="15" fillId="0" borderId="5" xfId="0" applyFont="1" applyBorder="1" applyAlignment="1">
      <alignment horizontal="center" wrapText="1"/>
    </xf>
    <xf numFmtId="0" fontId="15" fillId="0" borderId="3" xfId="0" applyFont="1" applyBorder="1" applyAlignment="1">
      <alignment horizontal="center" vertical="center" wrapText="1"/>
    </xf>
    <xf numFmtId="0" fontId="19" fillId="13" borderId="18" xfId="0" applyFont="1" applyFill="1" applyBorder="1" applyAlignment="1">
      <alignment horizontal="center" vertical="center" wrapText="1"/>
    </xf>
    <xf numFmtId="0" fontId="17" fillId="0" borderId="0" xfId="0" applyFont="1" applyFill="1" applyBorder="1" applyAlignment="1">
      <alignment horizontal="center"/>
    </xf>
    <xf numFmtId="0" fontId="17" fillId="0" borderId="0" xfId="0" applyFont="1" applyAlignment="1">
      <alignment horizontal="center" wrapText="1"/>
    </xf>
    <xf numFmtId="0" fontId="15" fillId="0" borderId="0" xfId="0" applyFont="1" applyAlignment="1">
      <alignment horizontal="center" vertical="top" wrapText="1"/>
    </xf>
    <xf numFmtId="0" fontId="17" fillId="0" borderId="5" xfId="0" applyFont="1" applyBorder="1" applyAlignment="1">
      <alignment horizontal="center" vertical="center" wrapText="1"/>
    </xf>
    <xf numFmtId="43" fontId="15" fillId="0" borderId="5" xfId="7" applyNumberFormat="1" applyFont="1" applyBorder="1" applyAlignment="1">
      <alignment horizontal="center" vertical="center"/>
    </xf>
    <xf numFmtId="43" fontId="17" fillId="5" borderId="5" xfId="7" applyNumberFormat="1" applyFont="1" applyFill="1" applyBorder="1" applyAlignment="1">
      <alignment horizontal="center" vertical="center"/>
    </xf>
    <xf numFmtId="43" fontId="17" fillId="5" borderId="5" xfId="7" applyNumberFormat="1" applyFont="1" applyFill="1" applyBorder="1" applyAlignment="1">
      <alignment horizontal="center" vertical="center" wrapText="1"/>
    </xf>
    <xf numFmtId="168" fontId="17" fillId="5" borderId="19" xfId="7" applyNumberFormat="1" applyFont="1" applyFill="1" applyBorder="1" applyAlignment="1">
      <alignment horizontal="center" vertical="center"/>
    </xf>
    <xf numFmtId="43" fontId="17" fillId="0" borderId="5" xfId="7" applyNumberFormat="1" applyFont="1" applyBorder="1" applyAlignment="1">
      <alignment horizontal="center" vertical="center" wrapText="1"/>
    </xf>
    <xf numFmtId="0" fontId="23" fillId="0" borderId="0" xfId="0" applyFont="1" applyAlignment="1">
      <alignment horizontal="center"/>
    </xf>
    <xf numFmtId="3" fontId="6" fillId="0" borderId="2"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1" fontId="9" fillId="6"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0" xfId="0" applyFont="1" applyBorder="1" applyAlignment="1">
      <alignment horizontal="center" vertical="center" wrapText="1"/>
    </xf>
    <xf numFmtId="1" fontId="9" fillId="7" borderId="1" xfId="0" applyNumberFormat="1" applyFont="1" applyFill="1" applyBorder="1" applyAlignment="1">
      <alignment horizontal="center" vertical="center" wrapText="1"/>
    </xf>
    <xf numFmtId="168" fontId="0" fillId="0" borderId="12" xfId="0" applyNumberFormat="1" applyFont="1" applyBorder="1" applyAlignment="1">
      <alignment horizontal="left" vertical="center"/>
    </xf>
    <xf numFmtId="0" fontId="17" fillId="14" borderId="23" xfId="0" applyFont="1" applyFill="1" applyBorder="1" applyAlignment="1">
      <alignment horizontal="center" vertical="center"/>
    </xf>
    <xf numFmtId="0" fontId="17" fillId="14" borderId="31" xfId="0" applyFont="1" applyFill="1" applyBorder="1" applyAlignment="1">
      <alignment horizontal="center" vertical="center"/>
    </xf>
    <xf numFmtId="0" fontId="17" fillId="14" borderId="38" xfId="0" applyFont="1" applyFill="1" applyBorder="1" applyAlignment="1">
      <alignment horizontal="center" vertical="center"/>
    </xf>
    <xf numFmtId="168" fontId="2" fillId="13" borderId="10" xfId="0" applyNumberFormat="1" applyFont="1" applyFill="1" applyBorder="1" applyAlignment="1">
      <alignment horizontal="left" vertical="center"/>
    </xf>
    <xf numFmtId="2" fontId="0" fillId="0" borderId="1" xfId="0" applyNumberFormat="1" applyBorder="1" applyAlignment="1">
      <alignment horizontal="center"/>
    </xf>
    <xf numFmtId="168" fontId="16" fillId="0" borderId="1" xfId="7" applyNumberFormat="1" applyFont="1" applyFill="1" applyBorder="1" applyAlignment="1">
      <alignment vertical="center" wrapText="1"/>
    </xf>
    <xf numFmtId="43" fontId="17" fillId="0" borderId="1" xfId="7" applyNumberFormat="1" applyFont="1" applyFill="1" applyBorder="1" applyAlignment="1">
      <alignment horizontal="center" vertical="center"/>
    </xf>
    <xf numFmtId="0" fontId="20" fillId="0" borderId="0" xfId="0" applyFont="1" applyFill="1" applyBorder="1"/>
    <xf numFmtId="0" fontId="20" fillId="0" borderId="0" xfId="0" applyFont="1" applyFill="1" applyBorder="1" applyAlignment="1">
      <alignment horizontal="center" vertical="center"/>
    </xf>
    <xf numFmtId="168" fontId="0" fillId="0" borderId="0" xfId="7" applyNumberFormat="1" applyFont="1" applyBorder="1"/>
    <xf numFmtId="168" fontId="12" fillId="0" borderId="0" xfId="7" applyNumberFormat="1" applyFont="1" applyBorder="1" applyAlignment="1">
      <alignment horizontal="center" wrapText="1"/>
    </xf>
    <xf numFmtId="168" fontId="0" fillId="0" borderId="0" xfId="7" applyNumberFormat="1" applyFont="1" applyFill="1" applyBorder="1"/>
    <xf numFmtId="168" fontId="2" fillId="0" borderId="1" xfId="7" applyNumberFormat="1" applyFont="1" applyBorder="1" applyAlignment="1">
      <alignment horizontal="center" vertical="center"/>
    </xf>
    <xf numFmtId="168" fontId="0" fillId="0" borderId="1" xfId="7" applyNumberFormat="1" applyFont="1" applyBorder="1" applyAlignment="1">
      <alignment horizontal="center" vertical="center"/>
    </xf>
    <xf numFmtId="168" fontId="2" fillId="9" borderId="1" xfId="7" applyNumberFormat="1" applyFont="1" applyFill="1" applyBorder="1" applyAlignment="1">
      <alignment horizontal="center" vertical="center"/>
    </xf>
    <xf numFmtId="168" fontId="2" fillId="10" borderId="1" xfId="7" applyNumberFormat="1" applyFont="1" applyFill="1" applyBorder="1" applyAlignment="1">
      <alignment horizontal="center" vertical="center"/>
    </xf>
    <xf numFmtId="168" fontId="2" fillId="11" borderId="1" xfId="7" applyNumberFormat="1" applyFont="1" applyFill="1" applyBorder="1" applyAlignment="1">
      <alignment horizontal="center" vertical="center"/>
    </xf>
    <xf numFmtId="168" fontId="2" fillId="11" borderId="1" xfId="7" applyNumberFormat="1" applyFont="1" applyFill="1" applyBorder="1" applyAlignment="1">
      <alignment horizontal="center" vertical="center" wrapText="1"/>
    </xf>
    <xf numFmtId="168" fontId="2" fillId="3" borderId="1" xfId="7" applyNumberFormat="1" applyFont="1" applyFill="1" applyBorder="1" applyAlignment="1">
      <alignment horizontal="center" vertical="center"/>
    </xf>
    <xf numFmtId="168" fontId="2" fillId="0" borderId="0" xfId="7" applyNumberFormat="1" applyFont="1" applyBorder="1" applyAlignment="1">
      <alignment horizontal="center" vertical="center"/>
    </xf>
    <xf numFmtId="0" fontId="6" fillId="0" borderId="1" xfId="2" applyFont="1" applyFill="1" applyBorder="1" applyAlignment="1">
      <alignment horizontal="left" vertical="center" wrapText="1"/>
    </xf>
    <xf numFmtId="0" fontId="17" fillId="13" borderId="23" xfId="0" applyFont="1" applyFill="1" applyBorder="1" applyAlignment="1">
      <alignment horizontal="center" vertical="center" wrapText="1"/>
    </xf>
    <xf numFmtId="0" fontId="15" fillId="0" borderId="9" xfId="0" applyFont="1" applyFill="1" applyBorder="1" applyAlignment="1">
      <alignment wrapText="1"/>
    </xf>
    <xf numFmtId="0" fontId="15" fillId="0" borderId="1" xfId="0" applyFont="1" applyFill="1" applyBorder="1" applyAlignment="1">
      <alignment wrapText="1"/>
    </xf>
    <xf numFmtId="0" fontId="6" fillId="0" borderId="1" xfId="2" applyFont="1" applyFill="1" applyBorder="1" applyAlignment="1">
      <alignment horizontal="left" vertical="center" wrapText="1"/>
    </xf>
    <xf numFmtId="0" fontId="3" fillId="0" borderId="1" xfId="2" applyFont="1" applyFill="1" applyBorder="1" applyAlignment="1">
      <alignment horizontal="left" vertical="center" wrapText="1"/>
    </xf>
    <xf numFmtId="43" fontId="17" fillId="0" borderId="0" xfId="0" applyNumberFormat="1" applyFont="1"/>
    <xf numFmtId="1" fontId="17" fillId="0" borderId="0" xfId="0" applyNumberFormat="1" applyFont="1"/>
    <xf numFmtId="0" fontId="21" fillId="0" borderId="0" xfId="0" applyFont="1"/>
    <xf numFmtId="0" fontId="17" fillId="0" borderId="10" xfId="0" applyFont="1" applyBorder="1" applyAlignment="1">
      <alignment horizontal="center" vertical="center" wrapText="1"/>
    </xf>
    <xf numFmtId="0" fontId="15" fillId="0" borderId="10" xfId="0" applyFont="1" applyBorder="1"/>
    <xf numFmtId="2" fontId="17" fillId="0" borderId="10" xfId="0" applyNumberFormat="1" applyFont="1" applyBorder="1"/>
    <xf numFmtId="0" fontId="17" fillId="5" borderId="10" xfId="0" applyFont="1" applyFill="1" applyBorder="1" applyAlignment="1">
      <alignment horizontal="center" vertical="center"/>
    </xf>
    <xf numFmtId="0" fontId="17" fillId="5" borderId="31" xfId="0" applyFont="1" applyFill="1" applyBorder="1" applyAlignment="1">
      <alignment horizontal="center" vertical="center"/>
    </xf>
    <xf numFmtId="0" fontId="17" fillId="8" borderId="10" xfId="0" applyFont="1" applyFill="1" applyBorder="1" applyAlignment="1">
      <alignment vertical="center"/>
    </xf>
    <xf numFmtId="0" fontId="20" fillId="8" borderId="9" xfId="0" applyFont="1" applyFill="1" applyBorder="1" applyAlignment="1">
      <alignment horizontal="right"/>
    </xf>
    <xf numFmtId="0" fontId="17" fillId="8" borderId="9" xfId="0" applyFont="1" applyFill="1" applyBorder="1" applyAlignment="1">
      <alignment horizontal="center" vertical="center"/>
    </xf>
    <xf numFmtId="2" fontId="17" fillId="8" borderId="9" xfId="0" applyNumberFormat="1" applyFont="1" applyFill="1" applyBorder="1" applyAlignment="1">
      <alignment horizontal="left" vertical="center" wrapText="1"/>
    </xf>
    <xf numFmtId="0" fontId="2" fillId="8" borderId="9" xfId="0" applyFont="1" applyFill="1" applyBorder="1" applyAlignment="1">
      <alignment vertical="center"/>
    </xf>
    <xf numFmtId="0" fontId="2" fillId="8" borderId="1" xfId="0" applyFont="1" applyFill="1" applyBorder="1" applyAlignment="1">
      <alignment horizontal="center" vertical="center"/>
    </xf>
    <xf numFmtId="9" fontId="2" fillId="8" borderId="1" xfId="0" applyNumberFormat="1" applyFont="1" applyFill="1" applyBorder="1" applyAlignment="1">
      <alignment horizontal="center" vertical="center"/>
    </xf>
    <xf numFmtId="2" fontId="15" fillId="8" borderId="1" xfId="0" applyNumberFormat="1" applyFont="1" applyFill="1" applyBorder="1" applyAlignment="1">
      <alignment horizontal="center" vertical="center" wrapText="1"/>
    </xf>
    <xf numFmtId="0" fontId="15" fillId="8" borderId="10" xfId="0" applyFont="1" applyFill="1" applyBorder="1"/>
    <xf numFmtId="43" fontId="15" fillId="8" borderId="1" xfId="7" applyNumberFormat="1" applyFont="1" applyFill="1" applyBorder="1" applyAlignment="1">
      <alignment horizontal="center" vertical="center"/>
    </xf>
    <xf numFmtId="0" fontId="17" fillId="8" borderId="10" xfId="0" applyFont="1" applyFill="1" applyBorder="1"/>
    <xf numFmtId="2" fontId="17" fillId="8" borderId="1" xfId="0" applyNumberFormat="1" applyFont="1" applyFill="1" applyBorder="1" applyAlignment="1">
      <alignment horizontal="center" vertical="center" wrapText="1"/>
    </xf>
    <xf numFmtId="0" fontId="15" fillId="8" borderId="17" xfId="0" applyFont="1" applyFill="1" applyBorder="1"/>
    <xf numFmtId="0" fontId="17" fillId="8" borderId="0" xfId="0" applyFont="1" applyFill="1" applyAlignment="1">
      <alignment vertical="center"/>
    </xf>
    <xf numFmtId="0" fontId="17" fillId="8" borderId="33" xfId="0" applyFont="1" applyFill="1" applyBorder="1"/>
    <xf numFmtId="0" fontId="15" fillId="8" borderId="16" xfId="0" applyFont="1" applyFill="1" applyBorder="1" applyAlignment="1">
      <alignment horizontal="center" vertical="center"/>
    </xf>
    <xf numFmtId="168" fontId="17" fillId="8" borderId="16" xfId="7" applyNumberFormat="1" applyFont="1" applyFill="1" applyBorder="1" applyAlignment="1">
      <alignment horizontal="center" vertical="center"/>
    </xf>
    <xf numFmtId="0" fontId="17" fillId="8" borderId="16" xfId="0" applyFont="1" applyFill="1" applyBorder="1" applyAlignment="1">
      <alignment horizontal="center" vertical="center"/>
    </xf>
    <xf numFmtId="0" fontId="15" fillId="0" borderId="36" xfId="0" applyFont="1" applyBorder="1"/>
    <xf numFmtId="0" fontId="15" fillId="0" borderId="36" xfId="0" applyFont="1" applyBorder="1" applyAlignment="1">
      <alignment horizontal="center" vertical="center"/>
    </xf>
    <xf numFmtId="168" fontId="15" fillId="0" borderId="36" xfId="7" applyNumberFormat="1" applyFont="1" applyBorder="1" applyAlignment="1">
      <alignment horizontal="center" vertical="center"/>
    </xf>
    <xf numFmtId="0" fontId="15" fillId="0" borderId="24" xfId="0" applyFont="1" applyBorder="1"/>
    <xf numFmtId="0" fontId="15" fillId="0" borderId="24" xfId="0" applyFont="1" applyBorder="1" applyAlignment="1">
      <alignment horizontal="center" vertical="center"/>
    </xf>
    <xf numFmtId="168" fontId="15" fillId="0" borderId="24" xfId="7" applyNumberFormat="1" applyFont="1" applyBorder="1" applyAlignment="1">
      <alignment horizontal="center" vertical="center"/>
    </xf>
    <xf numFmtId="0" fontId="6" fillId="0" borderId="1" xfId="2" applyFont="1" applyFill="1" applyBorder="1" applyAlignment="1">
      <alignment horizontal="left" vertical="center" wrapText="1"/>
    </xf>
    <xf numFmtId="0" fontId="17" fillId="13" borderId="23" xfId="0" applyFont="1" applyFill="1" applyBorder="1" applyAlignment="1">
      <alignment horizontal="center" vertical="center" wrapText="1"/>
    </xf>
    <xf numFmtId="0" fontId="15" fillId="8" borderId="9" xfId="0" applyFont="1" applyFill="1" applyBorder="1" applyAlignment="1">
      <alignment wrapText="1"/>
    </xf>
    <xf numFmtId="0" fontId="15" fillId="0" borderId="9" xfId="0" applyFont="1" applyBorder="1" applyAlignment="1">
      <alignment wrapText="1"/>
    </xf>
    <xf numFmtId="0" fontId="15" fillId="0" borderId="1" xfId="0" applyFont="1" applyBorder="1" applyAlignment="1">
      <alignment wrapText="1"/>
    </xf>
    <xf numFmtId="0" fontId="17" fillId="0" borderId="9" xfId="0" applyFont="1" applyBorder="1" applyAlignment="1">
      <alignment horizontal="left" vertical="center" wrapText="1"/>
    </xf>
    <xf numFmtId="0" fontId="15" fillId="0" borderId="1"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17" fillId="0" borderId="1" xfId="0" applyFont="1" applyBorder="1" applyAlignment="1">
      <alignment horizontal="left" vertical="center"/>
    </xf>
    <xf numFmtId="0" fontId="17" fillId="0" borderId="10" xfId="0" applyFont="1" applyBorder="1" applyAlignment="1">
      <alignment horizontal="left" vertical="center"/>
    </xf>
    <xf numFmtId="0" fontId="17" fillId="8" borderId="9" xfId="0" applyFont="1" applyFill="1" applyBorder="1" applyAlignment="1">
      <alignment horizontal="center" vertical="center" wrapText="1"/>
    </xf>
    <xf numFmtId="2" fontId="15" fillId="8" borderId="9" xfId="0" applyNumberFormat="1" applyFont="1" applyFill="1" applyBorder="1" applyAlignment="1">
      <alignment horizontal="left" vertical="center" wrapText="1"/>
    </xf>
    <xf numFmtId="0" fontId="0" fillId="8" borderId="9" xfId="0" applyFont="1" applyFill="1" applyBorder="1" applyAlignment="1">
      <alignment vertical="center"/>
    </xf>
    <xf numFmtId="0" fontId="0" fillId="8" borderId="1" xfId="0" applyFont="1" applyFill="1" applyBorder="1" applyAlignment="1">
      <alignment horizontal="center" vertical="center"/>
    </xf>
    <xf numFmtId="9" fontId="0" fillId="8" borderId="1" xfId="0" applyNumberFormat="1" applyFont="1" applyFill="1" applyBorder="1" applyAlignment="1">
      <alignment horizontal="center" vertical="center"/>
    </xf>
    <xf numFmtId="0" fontId="17" fillId="8" borderId="10" xfId="0" applyFont="1" applyFill="1" applyBorder="1" applyAlignment="1">
      <alignment horizontal="center" vertical="center" wrapText="1"/>
    </xf>
    <xf numFmtId="0" fontId="17" fillId="0" borderId="35" xfId="0" applyFont="1" applyBorder="1" applyAlignment="1">
      <alignment horizontal="center" vertical="center"/>
    </xf>
    <xf numFmtId="9" fontId="17" fillId="0" borderId="2" xfId="0" applyNumberFormat="1" applyFont="1" applyBorder="1" applyAlignment="1">
      <alignment horizontal="center" vertical="center"/>
    </xf>
    <xf numFmtId="2" fontId="17" fillId="0" borderId="21" xfId="0" applyNumberFormat="1" applyFont="1" applyBorder="1"/>
    <xf numFmtId="0" fontId="15" fillId="0" borderId="9" xfId="0" applyFont="1" applyFill="1" applyBorder="1" applyAlignment="1">
      <alignment horizontal="left" vertical="center" wrapText="1"/>
    </xf>
    <xf numFmtId="0" fontId="17" fillId="0" borderId="31" xfId="0" applyFont="1" applyFill="1" applyBorder="1" applyAlignment="1">
      <alignment horizontal="center" vertical="center"/>
    </xf>
    <xf numFmtId="0" fontId="15" fillId="0" borderId="10" xfId="0" applyFont="1" applyFill="1" applyBorder="1"/>
    <xf numFmtId="0" fontId="17" fillId="8" borderId="23" xfId="0" applyFont="1" applyFill="1" applyBorder="1" applyAlignment="1">
      <alignment horizontal="center" vertical="center"/>
    </xf>
    <xf numFmtId="0" fontId="15" fillId="0" borderId="31" xfId="0" applyFont="1" applyBorder="1"/>
    <xf numFmtId="0" fontId="17" fillId="13" borderId="1" xfId="0" applyFont="1" applyFill="1" applyBorder="1" applyAlignment="1">
      <alignment horizontal="center" vertical="center" wrapText="1"/>
    </xf>
    <xf numFmtId="0" fontId="17" fillId="0" borderId="33" xfId="0" applyFont="1" applyBorder="1"/>
    <xf numFmtId="0" fontId="17" fillId="0" borderId="16" xfId="0" applyFont="1" applyBorder="1" applyAlignment="1">
      <alignment horizontal="center" vertical="center"/>
    </xf>
    <xf numFmtId="43" fontId="17" fillId="8" borderId="16" xfId="7" applyNumberFormat="1" applyFont="1" applyFill="1" applyBorder="1" applyAlignment="1">
      <alignment horizontal="center" vertical="center"/>
    </xf>
    <xf numFmtId="0" fontId="15" fillId="0" borderId="17" xfId="0" applyFont="1" applyBorder="1"/>
    <xf numFmtId="0" fontId="17" fillId="13" borderId="23" xfId="0" applyFont="1" applyFill="1" applyBorder="1" applyAlignment="1">
      <alignment horizontal="center" wrapText="1"/>
    </xf>
    <xf numFmtId="0" fontId="19" fillId="13" borderId="16" xfId="0" applyFont="1" applyFill="1" applyBorder="1" applyAlignment="1">
      <alignment horizontal="center" wrapText="1"/>
    </xf>
    <xf numFmtId="0" fontId="15" fillId="5" borderId="17" xfId="0" applyFont="1" applyFill="1" applyBorder="1"/>
    <xf numFmtId="167" fontId="15" fillId="0" borderId="10" xfId="0" applyNumberFormat="1" applyFont="1" applyBorder="1"/>
    <xf numFmtId="167" fontId="17" fillId="0" borderId="10" xfId="0" applyNumberFormat="1" applyFont="1" applyBorder="1"/>
    <xf numFmtId="0" fontId="15" fillId="8" borderId="9" xfId="0" applyFont="1" applyFill="1" applyBorder="1"/>
    <xf numFmtId="0" fontId="15" fillId="8" borderId="9" xfId="0" applyFont="1" applyFill="1" applyBorder="1" applyAlignment="1">
      <alignment vertical="center"/>
    </xf>
    <xf numFmtId="0" fontId="15" fillId="8" borderId="10" xfId="0" applyFont="1" applyFill="1" applyBorder="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5" fillId="0" borderId="10" xfId="0" applyFont="1" applyBorder="1" applyAlignment="1">
      <alignment horizontal="center" vertical="center" wrapText="1"/>
    </xf>
    <xf numFmtId="0" fontId="17" fillId="8" borderId="10" xfId="0" applyFont="1" applyFill="1" applyBorder="1" applyAlignment="1">
      <alignment horizontal="center" vertical="center"/>
    </xf>
    <xf numFmtId="0" fontId="17" fillId="0" borderId="10" xfId="0" applyFont="1" applyBorder="1"/>
    <xf numFmtId="0" fontId="17" fillId="0" borderId="10" xfId="0" applyFont="1" applyBorder="1" applyAlignment="1">
      <alignment horizontal="center" vertical="center"/>
    </xf>
    <xf numFmtId="0" fontId="21" fillId="0" borderId="10" xfId="0" applyFont="1" applyBorder="1"/>
    <xf numFmtId="2" fontId="21" fillId="0" borderId="10" xfId="0" applyNumberFormat="1" applyFont="1" applyBorder="1"/>
    <xf numFmtId="0" fontId="17" fillId="0" borderId="10" xfId="0" applyFont="1" applyBorder="1" applyAlignment="1">
      <alignment horizontal="center"/>
    </xf>
    <xf numFmtId="0" fontId="15" fillId="0" borderId="10" xfId="0" applyFont="1" applyBorder="1" applyAlignment="1">
      <alignment horizontal="center" vertical="center"/>
    </xf>
    <xf numFmtId="0" fontId="17" fillId="5" borderId="17" xfId="0" applyFont="1" applyFill="1" applyBorder="1"/>
    <xf numFmtId="1" fontId="15" fillId="0" borderId="10" xfId="0" applyNumberFormat="1" applyFont="1" applyBorder="1"/>
    <xf numFmtId="1" fontId="17" fillId="8" borderId="10" xfId="0" applyNumberFormat="1" applyFont="1" applyFill="1" applyBorder="1"/>
    <xf numFmtId="2" fontId="15" fillId="8" borderId="1" xfId="0" applyNumberFormat="1" applyFont="1" applyFill="1" applyBorder="1" applyAlignment="1">
      <alignment horizontal="center" vertical="center"/>
    </xf>
    <xf numFmtId="0" fontId="20" fillId="8" borderId="9" xfId="0" applyFont="1" applyFill="1" applyBorder="1" applyAlignment="1">
      <alignment horizontal="right" vertical="center"/>
    </xf>
    <xf numFmtId="165" fontId="15" fillId="8" borderId="1" xfId="0" applyNumberFormat="1" applyFont="1" applyFill="1" applyBorder="1" applyAlignment="1">
      <alignment horizontal="center" vertical="center"/>
    </xf>
    <xf numFmtId="2" fontId="17" fillId="8" borderId="1" xfId="0" applyNumberFormat="1" applyFont="1" applyFill="1" applyBorder="1" applyAlignment="1">
      <alignment horizontal="center" vertical="center"/>
    </xf>
    <xf numFmtId="2" fontId="15" fillId="8" borderId="9" xfId="0" applyNumberFormat="1" applyFont="1" applyFill="1" applyBorder="1" applyAlignment="1">
      <alignment horizontal="left" vertical="center"/>
    </xf>
    <xf numFmtId="0" fontId="15" fillId="8" borderId="9" xfId="0" applyFont="1" applyFill="1" applyBorder="1" applyAlignment="1">
      <alignment horizontal="left" vertical="center" wrapText="1"/>
    </xf>
    <xf numFmtId="1" fontId="17" fillId="8" borderId="1" xfId="0" applyNumberFormat="1" applyFont="1" applyFill="1" applyBorder="1" applyAlignment="1">
      <alignment horizontal="center" vertical="center"/>
    </xf>
    <xf numFmtId="168" fontId="15" fillId="8" borderId="1" xfId="7" applyNumberFormat="1" applyFont="1" applyFill="1" applyBorder="1" applyAlignment="1">
      <alignment horizontal="left" vertical="center"/>
    </xf>
    <xf numFmtId="0" fontId="17" fillId="8" borderId="1" xfId="0" applyFont="1" applyFill="1" applyBorder="1"/>
    <xf numFmtId="0" fontId="17" fillId="0" borderId="10" xfId="0" applyFont="1" applyBorder="1" applyAlignment="1">
      <alignment vertical="center"/>
    </xf>
    <xf numFmtId="0" fontId="15" fillId="0" borderId="10" xfId="0" applyFont="1" applyBorder="1" applyAlignment="1">
      <alignment vertical="center" wrapText="1"/>
    </xf>
    <xf numFmtId="0" fontId="17" fillId="0" borderId="21" xfId="0" applyFont="1" applyBorder="1"/>
    <xf numFmtId="0" fontId="17" fillId="0" borderId="17" xfId="0" applyFont="1" applyBorder="1"/>
    <xf numFmtId="0" fontId="15" fillId="0" borderId="40" xfId="0" applyFont="1" applyBorder="1"/>
    <xf numFmtId="0" fontId="20" fillId="0" borderId="10" xfId="0" applyFont="1" applyFill="1" applyBorder="1"/>
    <xf numFmtId="0" fontId="20" fillId="0" borderId="17" xfId="0" applyFont="1" applyFill="1" applyBorder="1"/>
    <xf numFmtId="0" fontId="15" fillId="0" borderId="0" xfId="0" applyFont="1" applyBorder="1" applyAlignment="1">
      <alignment horizontal="center"/>
    </xf>
    <xf numFmtId="168" fontId="17" fillId="0" borderId="17" xfId="7" applyNumberFormat="1" applyFont="1" applyBorder="1" applyAlignment="1">
      <alignment horizontal="center" vertical="center"/>
    </xf>
    <xf numFmtId="0" fontId="15" fillId="8" borderId="10" xfId="0" applyFont="1" applyFill="1" applyBorder="1" applyAlignment="1">
      <alignment vertical="center" wrapText="1"/>
    </xf>
    <xf numFmtId="0" fontId="15" fillId="8" borderId="0" xfId="6" applyFont="1" applyFill="1"/>
    <xf numFmtId="3" fontId="6" fillId="0" borderId="1" xfId="2"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12" fillId="0" borderId="0" xfId="2" applyFont="1" applyBorder="1" applyAlignment="1">
      <alignment horizontal="center" wrapText="1"/>
    </xf>
    <xf numFmtId="3" fontId="9" fillId="6" borderId="20" xfId="0" applyNumberFormat="1" applyFont="1" applyFill="1" applyBorder="1" applyAlignment="1">
      <alignment horizontal="center" vertical="center" wrapText="1"/>
    </xf>
    <xf numFmtId="3" fontId="9" fillId="2" borderId="20" xfId="0" applyNumberFormat="1" applyFont="1" applyFill="1" applyBorder="1" applyAlignment="1">
      <alignment horizontal="center" vertical="center" wrapText="1"/>
    </xf>
    <xf numFmtId="3" fontId="9" fillId="7" borderId="20" xfId="0" applyNumberFormat="1" applyFont="1" applyFill="1" applyBorder="1" applyAlignment="1">
      <alignment horizontal="center" vertical="center" wrapText="1"/>
    </xf>
    <xf numFmtId="168" fontId="6" fillId="0" borderId="1" xfId="7" applyNumberFormat="1" applyFont="1" applyFill="1" applyBorder="1" applyAlignment="1">
      <alignment horizontal="center" vertical="center" wrapText="1"/>
    </xf>
    <xf numFmtId="3" fontId="6" fillId="0" borderId="1" xfId="2"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3" fontId="6" fillId="0" borderId="1" xfId="2" applyNumberFormat="1" applyFont="1" applyFill="1" applyBorder="1" applyAlignment="1">
      <alignment horizontal="left" vertical="center" wrapText="1"/>
    </xf>
    <xf numFmtId="0" fontId="6" fillId="0" borderId="6" xfId="2" applyFont="1" applyFill="1" applyBorder="1" applyAlignment="1">
      <alignment horizontal="left" vertical="center" wrapText="1"/>
    </xf>
    <xf numFmtId="0" fontId="9" fillId="0" borderId="6" xfId="2" applyFont="1" applyFill="1" applyBorder="1" applyAlignment="1">
      <alignment horizontal="left" vertical="center" wrapText="1"/>
    </xf>
    <xf numFmtId="0" fontId="17" fillId="13" borderId="23" xfId="0" applyFont="1" applyFill="1" applyBorder="1" applyAlignment="1">
      <alignment horizontal="center" vertical="center" wrapText="1"/>
    </xf>
    <xf numFmtId="168" fontId="25" fillId="0" borderId="0" xfId="7" applyNumberFormat="1" applyFont="1"/>
    <xf numFmtId="168" fontId="6" fillId="0" borderId="1" xfId="2" quotePrefix="1" applyNumberFormat="1" applyFont="1" applyFill="1" applyBorder="1" applyAlignment="1">
      <alignment horizontal="center" vertical="center" wrapText="1"/>
    </xf>
    <xf numFmtId="168" fontId="6" fillId="0" borderId="1" xfId="2" applyNumberFormat="1" applyFont="1" applyFill="1" applyBorder="1" applyAlignment="1">
      <alignment horizontal="center" vertical="center" wrapText="1"/>
    </xf>
    <xf numFmtId="168" fontId="6" fillId="0" borderId="1" xfId="7" quotePrefix="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8" fontId="6" fillId="0" borderId="1" xfId="7" applyNumberFormat="1" applyFont="1" applyFill="1" applyBorder="1" applyAlignment="1">
      <alignment vertical="center" wrapText="1"/>
    </xf>
    <xf numFmtId="168" fontId="1" fillId="0" borderId="1" xfId="7" applyNumberFormat="1" applyFont="1" applyBorder="1" applyAlignment="1">
      <alignment horizontal="center" vertical="center"/>
    </xf>
    <xf numFmtId="0" fontId="6" fillId="0" borderId="1" xfId="2" applyFont="1" applyFill="1" applyBorder="1" applyAlignment="1">
      <alignment horizontal="left" vertical="center" wrapText="1"/>
    </xf>
    <xf numFmtId="0" fontId="24" fillId="9" borderId="1" xfId="2" applyFont="1" applyFill="1" applyBorder="1" applyAlignment="1">
      <alignment horizontal="center" vertical="center" wrapText="1"/>
    </xf>
    <xf numFmtId="168" fontId="6" fillId="0" borderId="1" xfId="7" applyNumberFormat="1" applyFont="1" applyBorder="1" applyAlignment="1">
      <alignment horizontal="center" vertical="center" wrapText="1"/>
    </xf>
    <xf numFmtId="0" fontId="11" fillId="8" borderId="1" xfId="2" applyFont="1" applyFill="1" applyBorder="1" applyAlignment="1">
      <alignment horizontal="left" vertical="center" wrapText="1"/>
    </xf>
    <xf numFmtId="0" fontId="6" fillId="8" borderId="1" xfId="2" applyFont="1" applyFill="1" applyBorder="1" applyAlignment="1">
      <alignment horizontal="left" vertical="center" wrapText="1"/>
    </xf>
    <xf numFmtId="0" fontId="6" fillId="8" borderId="1" xfId="2" applyFont="1" applyFill="1" applyBorder="1" applyAlignment="1">
      <alignment horizontal="center" vertical="center" wrapText="1"/>
    </xf>
    <xf numFmtId="0" fontId="6" fillId="8" borderId="1" xfId="0" applyFont="1" applyFill="1" applyBorder="1" applyAlignment="1">
      <alignment horizontal="center" vertical="center" wrapText="1"/>
    </xf>
    <xf numFmtId="0" fontId="15" fillId="8" borderId="3" xfId="0" applyFont="1" applyFill="1" applyBorder="1" applyAlignment="1">
      <alignment horizontal="left" vertical="center" wrapText="1"/>
    </xf>
    <xf numFmtId="0" fontId="15" fillId="8" borderId="25" xfId="0" applyFont="1" applyFill="1" applyBorder="1" applyAlignment="1">
      <alignment horizontal="left" vertical="center" wrapText="1"/>
    </xf>
    <xf numFmtId="1" fontId="2" fillId="3" borderId="22" xfId="0" applyNumberFormat="1" applyFont="1" applyFill="1" applyBorder="1" applyAlignment="1">
      <alignment horizontal="center" vertical="center"/>
    </xf>
    <xf numFmtId="168" fontId="2" fillId="0" borderId="0" xfId="7" applyNumberFormat="1" applyFont="1" applyFill="1" applyBorder="1" applyAlignment="1">
      <alignment horizontal="center" vertical="center"/>
    </xf>
    <xf numFmtId="9" fontId="2" fillId="0" borderId="0" xfId="1" applyFont="1" applyFill="1" applyBorder="1" applyAlignment="1">
      <alignment horizontal="center" vertical="center"/>
    </xf>
    <xf numFmtId="0" fontId="9" fillId="8" borderId="1" xfId="2" applyFont="1" applyFill="1" applyBorder="1" applyAlignment="1">
      <alignment horizontal="left" vertical="center" wrapText="1"/>
    </xf>
    <xf numFmtId="0" fontId="9" fillId="8" borderId="1" xfId="2" applyFont="1" applyFill="1" applyBorder="1" applyAlignment="1">
      <alignment vertical="center" wrapText="1"/>
    </xf>
    <xf numFmtId="168" fontId="9" fillId="8" borderId="1" xfId="7" applyNumberFormat="1" applyFont="1" applyFill="1" applyBorder="1" applyAlignment="1">
      <alignment vertical="center" wrapText="1"/>
    </xf>
    <xf numFmtId="9" fontId="9" fillId="8" borderId="1" xfId="1" applyFont="1" applyFill="1" applyBorder="1" applyAlignment="1">
      <alignment horizontal="center" vertical="center" wrapText="1"/>
    </xf>
    <xf numFmtId="43" fontId="0" fillId="8" borderId="1" xfId="7" applyNumberFormat="1" applyFont="1" applyFill="1" applyBorder="1" applyAlignment="1">
      <alignment horizontal="center" vertical="center"/>
    </xf>
    <xf numFmtId="168" fontId="9" fillId="8" borderId="1" xfId="7" applyNumberFormat="1" applyFont="1" applyFill="1" applyBorder="1" applyAlignment="1">
      <alignment horizontal="left" vertical="center" wrapText="1"/>
    </xf>
    <xf numFmtId="0" fontId="9" fillId="8" borderId="1" xfId="2" applyFont="1" applyFill="1" applyBorder="1" applyAlignment="1">
      <alignment horizontal="center" vertical="center" wrapText="1"/>
    </xf>
    <xf numFmtId="168" fontId="9" fillId="8" borderId="1" xfId="7" applyNumberFormat="1" applyFont="1" applyFill="1" applyBorder="1" applyAlignment="1">
      <alignment horizontal="center" vertical="center" wrapText="1"/>
    </xf>
    <xf numFmtId="168" fontId="9" fillId="0" borderId="1" xfId="7" applyNumberFormat="1" applyFont="1" applyFill="1" applyBorder="1" applyAlignment="1">
      <alignment horizontal="center" vertical="center" wrapText="1"/>
    </xf>
    <xf numFmtId="9" fontId="9" fillId="0" borderId="1" xfId="1" applyFont="1" applyFill="1" applyBorder="1" applyAlignment="1">
      <alignment horizontal="center" vertical="center" wrapText="1"/>
    </xf>
    <xf numFmtId="168" fontId="2" fillId="8" borderId="1" xfId="7" applyNumberFormat="1" applyFont="1" applyFill="1" applyBorder="1" applyAlignment="1">
      <alignment horizontal="center" vertical="center"/>
    </xf>
    <xf numFmtId="9" fontId="2" fillId="0" borderId="1" xfId="1" applyFont="1" applyBorder="1" applyAlignment="1">
      <alignment horizontal="center" vertical="center"/>
    </xf>
    <xf numFmtId="168" fontId="2" fillId="0" borderId="1" xfId="7" applyNumberFormat="1" applyFont="1" applyFill="1" applyBorder="1" applyAlignment="1">
      <alignment horizontal="center" vertical="center"/>
    </xf>
    <xf numFmtId="9" fontId="2" fillId="0" borderId="1" xfId="1" applyFont="1" applyFill="1" applyBorder="1" applyAlignment="1">
      <alignment horizontal="center" vertical="center"/>
    </xf>
    <xf numFmtId="0" fontId="9" fillId="9" borderId="1" xfId="2" applyFont="1" applyFill="1" applyBorder="1" applyAlignment="1">
      <alignment horizontal="center" vertical="center" wrapText="1"/>
    </xf>
    <xf numFmtId="0" fontId="6" fillId="9" borderId="1" xfId="2" applyFont="1" applyFill="1" applyBorder="1" applyAlignment="1">
      <alignment horizontal="left" vertical="center" wrapText="1"/>
    </xf>
    <xf numFmtId="9" fontId="5" fillId="9" borderId="1" xfId="2" applyNumberFormat="1" applyFont="1" applyFill="1" applyBorder="1" applyAlignment="1">
      <alignment horizontal="center" vertical="center" wrapText="1"/>
    </xf>
    <xf numFmtId="9" fontId="2" fillId="9" borderId="1" xfId="1" applyFont="1" applyFill="1" applyBorder="1" applyAlignment="1">
      <alignment horizontal="center" vertical="center"/>
    </xf>
    <xf numFmtId="168" fontId="4" fillId="8" borderId="1" xfId="7" applyNumberFormat="1" applyFont="1" applyFill="1" applyBorder="1" applyAlignment="1">
      <alignment horizontal="center" vertical="center" wrapText="1"/>
    </xf>
    <xf numFmtId="9" fontId="4" fillId="8" borderId="1" xfId="1" applyFont="1" applyFill="1" applyBorder="1" applyAlignment="1">
      <alignment horizontal="center" vertical="center" wrapText="1"/>
    </xf>
    <xf numFmtId="168" fontId="4" fillId="0" borderId="1" xfId="7"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0" fontId="9" fillId="10" borderId="1" xfId="2" applyFont="1" applyFill="1" applyBorder="1" applyAlignment="1">
      <alignment horizontal="left" vertical="center" wrapText="1"/>
    </xf>
    <xf numFmtId="168" fontId="4" fillId="10" borderId="1" xfId="7" applyNumberFormat="1" applyFont="1" applyFill="1" applyBorder="1" applyAlignment="1">
      <alignment horizontal="center" vertical="center" wrapText="1"/>
    </xf>
    <xf numFmtId="9" fontId="4" fillId="10" borderId="1" xfId="1" applyFont="1" applyFill="1" applyBorder="1" applyAlignment="1">
      <alignment horizontal="center" vertical="center" wrapText="1"/>
    </xf>
    <xf numFmtId="9" fontId="2" fillId="10" borderId="1" xfId="1" applyFont="1" applyFill="1" applyBorder="1" applyAlignment="1">
      <alignment horizontal="center" vertical="center"/>
    </xf>
    <xf numFmtId="0" fontId="9" fillId="11" borderId="1" xfId="2" applyFont="1" applyFill="1" applyBorder="1" applyAlignment="1">
      <alignment horizontal="left" vertical="center" wrapText="1"/>
    </xf>
    <xf numFmtId="9" fontId="2" fillId="11" borderId="1" xfId="1" applyFont="1" applyFill="1" applyBorder="1" applyAlignment="1">
      <alignment horizontal="center" vertical="center"/>
    </xf>
    <xf numFmtId="0" fontId="9" fillId="0" borderId="1" xfId="2" applyFont="1" applyFill="1" applyBorder="1" applyAlignment="1">
      <alignment vertical="center" wrapText="1"/>
    </xf>
    <xf numFmtId="171" fontId="2" fillId="0" borderId="1" xfId="7" applyNumberFormat="1" applyFont="1" applyBorder="1" applyAlignment="1">
      <alignment horizontal="center" vertical="center"/>
    </xf>
    <xf numFmtId="9" fontId="17" fillId="0" borderId="1" xfId="1" applyFont="1" applyFill="1" applyBorder="1" applyAlignment="1">
      <alignment horizontal="center" vertical="center"/>
    </xf>
    <xf numFmtId="0" fontId="13" fillId="11" borderId="1" xfId="2" applyFont="1" applyFill="1" applyBorder="1" applyAlignment="1">
      <alignment horizontal="left" vertical="center" wrapText="1"/>
    </xf>
    <xf numFmtId="168" fontId="2" fillId="0" borderId="1" xfId="7"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0" fontId="4" fillId="0" borderId="1" xfId="2" applyFont="1" applyFill="1" applyBorder="1" applyAlignment="1">
      <alignment horizontal="left" vertical="center" wrapText="1"/>
    </xf>
    <xf numFmtId="0" fontId="13" fillId="3"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9" fontId="2" fillId="3" borderId="1" xfId="1" applyFont="1" applyFill="1" applyBorder="1" applyAlignment="1">
      <alignment horizontal="center" vertical="center"/>
    </xf>
    <xf numFmtId="9" fontId="2" fillId="9" borderId="1" xfId="1" applyFont="1" applyFill="1" applyBorder="1" applyAlignment="1">
      <alignment horizontal="center" vertical="center" wrapText="1"/>
    </xf>
    <xf numFmtId="168" fontId="3" fillId="0" borderId="1" xfId="7" applyNumberFormat="1" applyFont="1" applyFill="1" applyBorder="1" applyAlignment="1">
      <alignment horizontal="center" vertical="center" wrapText="1"/>
    </xf>
    <xf numFmtId="0" fontId="9" fillId="11" borderId="1" xfId="2" quotePrefix="1" applyFont="1" applyFill="1" applyBorder="1" applyAlignment="1">
      <alignment horizontal="left" vertical="center" wrapText="1"/>
    </xf>
    <xf numFmtId="0" fontId="13" fillId="0" borderId="1" xfId="2" applyFont="1" applyFill="1" applyBorder="1" applyAlignment="1">
      <alignment horizontal="left" vertical="center" wrapText="1"/>
    </xf>
    <xf numFmtId="0" fontId="0" fillId="0" borderId="1" xfId="0" applyFill="1" applyBorder="1" applyAlignment="1">
      <alignment horizontal="right" vertical="center" wrapText="1"/>
    </xf>
    <xf numFmtId="0" fontId="0" fillId="0" borderId="1" xfId="0" applyFill="1" applyBorder="1" applyAlignment="1">
      <alignment horizontal="center" vertical="center" wrapText="1"/>
    </xf>
    <xf numFmtId="0" fontId="11" fillId="3" borderId="1" xfId="2" applyFont="1" applyFill="1" applyBorder="1" applyAlignment="1">
      <alignment horizontal="left" vertical="center" wrapText="1"/>
    </xf>
    <xf numFmtId="0" fontId="6" fillId="11" borderId="1" xfId="2" applyFont="1" applyFill="1" applyBorder="1" applyAlignment="1">
      <alignment horizontal="left" vertical="center" wrapText="1"/>
    </xf>
    <xf numFmtId="0" fontId="4" fillId="0" borderId="1" xfId="2" quotePrefix="1" applyFont="1" applyFill="1" applyBorder="1" applyAlignment="1">
      <alignment horizontal="left" vertical="center" wrapText="1"/>
    </xf>
    <xf numFmtId="0" fontId="3" fillId="0" borderId="1" xfId="2" applyFont="1" applyFill="1" applyBorder="1" applyAlignment="1">
      <alignment horizontal="center" vertical="center" wrapText="1"/>
    </xf>
    <xf numFmtId="0" fontId="4" fillId="11" borderId="1" xfId="2" applyFont="1" applyFill="1" applyBorder="1" applyAlignment="1">
      <alignment horizontal="left" vertical="center" wrapText="1"/>
    </xf>
    <xf numFmtId="9" fontId="17" fillId="0" borderId="1" xfId="1" applyFont="1" applyBorder="1" applyAlignment="1">
      <alignment horizontal="center" vertical="center"/>
    </xf>
    <xf numFmtId="0" fontId="4" fillId="11" borderId="1" xfId="0" applyFont="1" applyFill="1" applyBorder="1" applyAlignment="1">
      <alignment horizontal="left" vertical="center" wrapText="1"/>
    </xf>
    <xf numFmtId="0" fontId="3" fillId="11" borderId="1" xfId="0" applyFont="1" applyFill="1" applyBorder="1" applyAlignment="1">
      <alignment wrapText="1"/>
    </xf>
    <xf numFmtId="0" fontId="4" fillId="0" borderId="1" xfId="0" applyFont="1" applyBorder="1" applyAlignment="1">
      <alignment horizontal="left" vertical="center" wrapText="1"/>
    </xf>
    <xf numFmtId="0" fontId="3" fillId="3" borderId="1" xfId="0" applyFont="1" applyFill="1" applyBorder="1" applyAlignment="1">
      <alignment wrapText="1"/>
    </xf>
    <xf numFmtId="0" fontId="4" fillId="12" borderId="1" xfId="0" applyFont="1" applyFill="1" applyBorder="1" applyAlignment="1">
      <alignment horizontal="center" vertical="center" wrapText="1"/>
    </xf>
    <xf numFmtId="168" fontId="2" fillId="12" borderId="1" xfId="7" applyNumberFormat="1" applyFont="1" applyFill="1" applyBorder="1" applyAlignment="1">
      <alignment horizontal="center" vertical="center"/>
    </xf>
    <xf numFmtId="9" fontId="2" fillId="12" borderId="1" xfId="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168" fontId="0" fillId="0" borderId="0" xfId="0" applyNumberFormat="1" applyFont="1" applyAlignment="1">
      <alignment horizontal="left" vertical="center"/>
    </xf>
    <xf numFmtId="0" fontId="6" fillId="0" borderId="1" xfId="2" applyFont="1" applyFill="1" applyBorder="1" applyAlignment="1">
      <alignment horizontal="left" vertical="center" wrapText="1"/>
    </xf>
    <xf numFmtId="0" fontId="9"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172" fontId="9" fillId="8" borderId="1" xfId="1"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15" fillId="0" borderId="9" xfId="0" applyFont="1" applyBorder="1" applyAlignment="1">
      <alignment wrapText="1"/>
    </xf>
    <xf numFmtId="0" fontId="6" fillId="0" borderId="1" xfId="2" applyFont="1" applyFill="1" applyBorder="1" applyAlignment="1">
      <alignment horizontal="center" vertical="center" wrapText="1"/>
    </xf>
    <xf numFmtId="43" fontId="15" fillId="0" borderId="10" xfId="0" applyNumberFormat="1" applyFont="1" applyBorder="1"/>
    <xf numFmtId="43" fontId="15" fillId="0" borderId="1" xfId="7" applyNumberFormat="1" applyFont="1" applyBorder="1" applyAlignment="1">
      <alignment horizontal="center" vertical="center" wrapText="1"/>
    </xf>
    <xf numFmtId="173" fontId="6" fillId="0" borderId="1" xfId="2" applyNumberFormat="1" applyFont="1" applyFill="1" applyBorder="1" applyAlignment="1">
      <alignment horizontal="center" vertical="center" wrapText="1"/>
    </xf>
    <xf numFmtId="0" fontId="9" fillId="0" borderId="1" xfId="2" applyFont="1" applyFill="1" applyBorder="1" applyAlignment="1">
      <alignment horizontal="left" vertical="center" wrapText="1"/>
    </xf>
    <xf numFmtId="0" fontId="6" fillId="0" borderId="1" xfId="2" applyFont="1" applyFill="1" applyBorder="1" applyAlignment="1">
      <alignment horizontal="left" vertical="center" wrapText="1"/>
    </xf>
    <xf numFmtId="3" fontId="6" fillId="0" borderId="1" xfId="2" applyNumberFormat="1" applyFont="1" applyFill="1" applyBorder="1" applyAlignment="1">
      <alignment horizontal="left" vertical="center" wrapText="1"/>
    </xf>
    <xf numFmtId="0" fontId="9"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9" fillId="0" borderId="1" xfId="2" applyFont="1" applyFill="1" applyBorder="1" applyAlignment="1">
      <alignment horizontal="left" vertical="center" wrapText="1"/>
    </xf>
    <xf numFmtId="168" fontId="17" fillId="0" borderId="0" xfId="7" applyNumberFormat="1" applyFont="1" applyAlignment="1">
      <alignment horizontal="left" vertical="center"/>
    </xf>
    <xf numFmtId="0" fontId="19" fillId="13" borderId="0" xfId="0" applyFont="1" applyFill="1" applyBorder="1" applyAlignment="1">
      <alignment horizontal="left" vertical="center" wrapText="1"/>
    </xf>
    <xf numFmtId="43" fontId="15" fillId="0" borderId="0" xfId="0" applyNumberFormat="1" applyFont="1"/>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9" xfId="0" applyFont="1" applyBorder="1" applyAlignment="1">
      <alignment wrapText="1"/>
    </xf>
    <xf numFmtId="0" fontId="15" fillId="0" borderId="1" xfId="0" applyFont="1" applyBorder="1" applyAlignment="1">
      <alignment wrapText="1"/>
    </xf>
    <xf numFmtId="0" fontId="9"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43" fontId="17" fillId="0" borderId="5" xfId="7" applyNumberFormat="1" applyFont="1" applyFill="1" applyBorder="1" applyAlignment="1">
      <alignment horizontal="center" vertical="center"/>
    </xf>
    <xf numFmtId="1" fontId="15" fillId="8" borderId="1" xfId="0" applyNumberFormat="1" applyFont="1" applyFill="1" applyBorder="1" applyAlignment="1">
      <alignment horizontal="center" vertical="center"/>
    </xf>
    <xf numFmtId="0" fontId="15" fillId="0" borderId="28" xfId="0" applyFont="1" applyBorder="1" applyAlignment="1">
      <alignment wrapText="1"/>
    </xf>
    <xf numFmtId="168" fontId="15" fillId="0" borderId="1" xfId="7" applyNumberFormat="1" applyFont="1" applyBorder="1" applyAlignment="1">
      <alignment wrapText="1"/>
    </xf>
    <xf numFmtId="0" fontId="33" fillId="0" borderId="1" xfId="0" applyFont="1" applyBorder="1" applyAlignment="1">
      <alignment horizontal="center" vertical="center"/>
    </xf>
    <xf numFmtId="0" fontId="0" fillId="0" borderId="0" xfId="0" applyFont="1"/>
    <xf numFmtId="0" fontId="0" fillId="0" borderId="0" xfId="0" applyFont="1" applyFill="1" applyBorder="1" applyAlignment="1">
      <alignment horizontal="left" vertical="center" wrapText="1"/>
    </xf>
    <xf numFmtId="0" fontId="15" fillId="0" borderId="0" xfId="2" applyFont="1" applyBorder="1" applyAlignment="1">
      <alignment horizontal="left" vertical="center" wrapText="1"/>
    </xf>
    <xf numFmtId="164" fontId="15" fillId="0" borderId="0" xfId="2" applyNumberFormat="1" applyFont="1" applyBorder="1" applyAlignment="1">
      <alignment wrapText="1"/>
    </xf>
    <xf numFmtId="0" fontId="15" fillId="0" borderId="0" xfId="2" applyFont="1" applyFill="1" applyBorder="1" applyAlignment="1">
      <alignment horizontal="left" vertical="center" wrapText="1"/>
    </xf>
    <xf numFmtId="0" fontId="20" fillId="0" borderId="0" xfId="2"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wrapText="1"/>
    </xf>
    <xf numFmtId="0" fontId="15" fillId="0" borderId="8" xfId="2" applyFont="1" applyFill="1" applyBorder="1" applyAlignment="1">
      <alignment vertical="center" wrapText="1"/>
    </xf>
    <xf numFmtId="0" fontId="15" fillId="0" borderId="45" xfId="2" applyFont="1" applyFill="1" applyBorder="1" applyAlignment="1">
      <alignment vertical="center" wrapText="1"/>
    </xf>
    <xf numFmtId="0" fontId="15" fillId="0" borderId="8" xfId="2" applyFont="1" applyFill="1" applyBorder="1" applyAlignment="1">
      <alignment horizontal="left" vertical="center" wrapText="1"/>
    </xf>
    <xf numFmtId="0" fontId="15" fillId="0" borderId="45" xfId="2" applyFont="1" applyFill="1" applyBorder="1" applyAlignment="1">
      <alignment horizontal="left" vertical="center" wrapText="1"/>
    </xf>
    <xf numFmtId="0" fontId="20" fillId="0" borderId="8" xfId="2" applyFont="1" applyFill="1" applyBorder="1" applyAlignment="1">
      <alignment horizontal="left" vertical="center" wrapText="1"/>
    </xf>
    <xf numFmtId="0" fontId="0" fillId="0" borderId="45" xfId="2" applyFont="1" applyFill="1" applyBorder="1" applyAlignment="1">
      <alignment horizontal="left" vertical="center" wrapText="1"/>
    </xf>
    <xf numFmtId="0" fontId="20" fillId="8" borderId="8" xfId="2" applyFont="1" applyFill="1" applyBorder="1" applyAlignment="1">
      <alignment horizontal="left" vertical="center" wrapText="1"/>
    </xf>
    <xf numFmtId="0" fontId="15" fillId="0" borderId="8" xfId="2" applyFont="1" applyBorder="1" applyAlignment="1">
      <alignment horizontal="left" vertical="center" wrapText="1"/>
    </xf>
    <xf numFmtId="0" fontId="15" fillId="0" borderId="46" xfId="2" applyFont="1" applyBorder="1" applyAlignment="1">
      <alignment horizontal="left" vertical="center" wrapText="1"/>
    </xf>
    <xf numFmtId="0" fontId="15" fillId="0" borderId="47" xfId="2" applyFont="1" applyFill="1" applyBorder="1" applyAlignment="1">
      <alignment horizontal="left" vertical="center" wrapText="1"/>
    </xf>
    <xf numFmtId="0" fontId="17" fillId="5" borderId="5" xfId="2" applyFont="1" applyFill="1" applyBorder="1" applyAlignment="1">
      <alignment vertical="center" wrapText="1"/>
    </xf>
    <xf numFmtId="0" fontId="17" fillId="5" borderId="4" xfId="2" applyFont="1" applyFill="1" applyBorder="1" applyAlignment="1">
      <alignment vertical="center" wrapText="1"/>
    </xf>
    <xf numFmtId="0" fontId="15" fillId="0" borderId="46" xfId="2" applyFont="1" applyFill="1" applyBorder="1" applyAlignment="1">
      <alignment horizontal="left" vertical="center" wrapText="1"/>
    </xf>
    <xf numFmtId="0" fontId="20" fillId="0" borderId="46" xfId="2" applyFont="1" applyFill="1" applyBorder="1" applyAlignment="1">
      <alignment horizontal="left" vertical="center" wrapText="1"/>
    </xf>
    <xf numFmtId="0" fontId="15" fillId="0" borderId="19" xfId="2" applyFont="1" applyFill="1" applyBorder="1" applyAlignment="1">
      <alignment horizontal="left" vertical="center" wrapText="1"/>
    </xf>
    <xf numFmtId="0" fontId="15" fillId="0" borderId="20" xfId="2" applyFont="1" applyFill="1" applyBorder="1" applyAlignment="1">
      <alignment horizontal="left" vertical="center" wrapText="1"/>
    </xf>
    <xf numFmtId="0" fontId="2" fillId="0" borderId="5" xfId="0" applyFont="1" applyBorder="1"/>
    <xf numFmtId="0" fontId="0" fillId="0" borderId="4" xfId="0" applyFont="1" applyBorder="1"/>
    <xf numFmtId="0" fontId="15" fillId="0" borderId="8" xfId="2" quotePrefix="1" applyFont="1" applyFill="1" applyBorder="1" applyAlignment="1">
      <alignment horizontal="left" vertical="center" wrapText="1"/>
    </xf>
    <xf numFmtId="0" fontId="15" fillId="0" borderId="46" xfId="2" quotePrefix="1" applyFont="1" applyFill="1" applyBorder="1" applyAlignment="1">
      <alignment horizontal="left" vertical="center" wrapText="1"/>
    </xf>
    <xf numFmtId="0" fontId="15" fillId="0" borderId="19" xfId="2" quotePrefix="1"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5" fillId="0" borderId="45" xfId="2" quotePrefix="1"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43" fontId="17" fillId="13" borderId="1" xfId="7" applyNumberFormat="1" applyFont="1" applyFill="1" applyBorder="1" applyAlignment="1">
      <alignment horizontal="center" vertical="center"/>
    </xf>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9" fillId="0" borderId="1" xfId="2" applyFont="1" applyFill="1" applyBorder="1" applyAlignment="1">
      <alignment horizontal="left" vertical="center" wrapText="1"/>
    </xf>
    <xf numFmtId="43" fontId="2" fillId="0" borderId="1" xfId="7" applyNumberFormat="1" applyFont="1" applyFill="1" applyBorder="1" applyAlignment="1">
      <alignment horizontal="center" vertical="center"/>
    </xf>
    <xf numFmtId="168" fontId="1" fillId="0" borderId="1" xfId="7" applyNumberFormat="1" applyFont="1" applyFill="1" applyBorder="1" applyAlignment="1">
      <alignment horizontal="center" vertical="center"/>
    </xf>
    <xf numFmtId="9" fontId="1" fillId="0" borderId="1" xfId="1" applyFont="1" applyFill="1" applyBorder="1" applyAlignment="1">
      <alignment horizontal="center" vertical="center"/>
    </xf>
    <xf numFmtId="0" fontId="6" fillId="0" borderId="1"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left" vertical="center" wrapText="1"/>
    </xf>
    <xf numFmtId="0" fontId="9" fillId="0" borderId="1" xfId="2" applyFont="1" applyFill="1" applyBorder="1" applyAlignment="1">
      <alignment horizontal="left" vertical="center" wrapText="1"/>
    </xf>
    <xf numFmtId="0" fontId="17" fillId="17" borderId="1" xfId="0" applyFont="1" applyFill="1" applyBorder="1"/>
    <xf numFmtId="0" fontId="24" fillId="9"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3" fontId="4" fillId="9" borderId="1" xfId="0" applyNumberFormat="1" applyFont="1" applyFill="1" applyBorder="1" applyAlignment="1">
      <alignment horizontal="center" vertical="center" wrapText="1"/>
    </xf>
    <xf numFmtId="168" fontId="9" fillId="9" borderId="1" xfId="7" applyNumberFormat="1" applyFont="1" applyFill="1" applyBorder="1" applyAlignment="1">
      <alignment horizontal="center" vertical="center" wrapText="1"/>
    </xf>
    <xf numFmtId="168" fontId="24" fillId="9" borderId="1" xfId="7"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24" fillId="9" borderId="1" xfId="2" applyFont="1" applyFill="1" applyBorder="1" applyAlignment="1">
      <alignment horizontal="center" vertical="center" wrapText="1"/>
    </xf>
    <xf numFmtId="1" fontId="9" fillId="6" borderId="6" xfId="0" applyNumberFormat="1" applyFont="1" applyFill="1" applyBorder="1" applyAlignment="1">
      <alignment horizontal="center" vertical="center" wrapText="1"/>
    </xf>
    <xf numFmtId="0" fontId="17" fillId="14" borderId="37" xfId="0" applyFont="1" applyFill="1" applyBorder="1" applyAlignment="1">
      <alignment horizontal="center" vertical="center"/>
    </xf>
    <xf numFmtId="168" fontId="17" fillId="3" borderId="1" xfId="7" applyNumberFormat="1" applyFont="1" applyFill="1" applyBorder="1" applyAlignment="1">
      <alignment horizontal="center" vertical="center"/>
    </xf>
    <xf numFmtId="168" fontId="6" fillId="0" borderId="1" xfId="7" applyNumberFormat="1" applyFont="1" applyBorder="1" applyAlignment="1">
      <alignment vertical="center" wrapText="1"/>
    </xf>
    <xf numFmtId="0" fontId="9" fillId="2" borderId="1" xfId="2" applyFont="1" applyFill="1" applyBorder="1" applyAlignment="1">
      <alignment vertical="center" wrapText="1"/>
    </xf>
    <xf numFmtId="3" fontId="9" fillId="2" borderId="2"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0" fontId="10" fillId="2" borderId="1" xfId="2"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0" fontId="9" fillId="6" borderId="1" xfId="2" applyFont="1" applyFill="1" applyBorder="1" applyAlignment="1">
      <alignment vertical="center" wrapText="1"/>
    </xf>
    <xf numFmtId="0" fontId="10" fillId="6" borderId="1" xfId="2" applyFont="1" applyFill="1" applyBorder="1" applyAlignment="1">
      <alignment horizontal="center" vertical="center" wrapText="1"/>
    </xf>
    <xf numFmtId="3" fontId="9" fillId="6" borderId="2" xfId="0" applyNumberFormat="1" applyFont="1" applyFill="1" applyBorder="1" applyAlignment="1">
      <alignment horizontal="center" vertical="center" wrapText="1"/>
    </xf>
    <xf numFmtId="3" fontId="9" fillId="6" borderId="6" xfId="0" applyNumberFormat="1" applyFont="1" applyFill="1" applyBorder="1" applyAlignment="1">
      <alignment horizontal="center" vertical="center" wrapText="1"/>
    </xf>
    <xf numFmtId="3" fontId="9" fillId="6" borderId="3" xfId="0" applyNumberFormat="1" applyFont="1" applyFill="1" applyBorder="1" applyAlignment="1">
      <alignment horizontal="center" vertical="center" wrapText="1"/>
    </xf>
    <xf numFmtId="3" fontId="9" fillId="6" borderId="4" xfId="0" applyNumberFormat="1" applyFont="1" applyFill="1" applyBorder="1" applyAlignment="1">
      <alignment horizontal="center" vertical="center" wrapText="1"/>
    </xf>
    <xf numFmtId="0" fontId="9" fillId="7" borderId="1" xfId="2" applyFont="1" applyFill="1" applyBorder="1" applyAlignment="1">
      <alignment vertical="center" wrapText="1"/>
    </xf>
    <xf numFmtId="0" fontId="10" fillId="7" borderId="5" xfId="2" applyFont="1" applyFill="1" applyBorder="1" applyAlignment="1">
      <alignment horizontal="center" vertical="center" wrapText="1"/>
    </xf>
    <xf numFmtId="0" fontId="10" fillId="7" borderId="3" xfId="2" applyFont="1" applyFill="1" applyBorder="1" applyAlignment="1">
      <alignment horizontal="center" vertical="center" wrapText="1"/>
    </xf>
    <xf numFmtId="0" fontId="10" fillId="7" borderId="4" xfId="2" applyFont="1" applyFill="1" applyBorder="1" applyAlignment="1">
      <alignment horizontal="center" vertical="center" wrapText="1"/>
    </xf>
    <xf numFmtId="0" fontId="9" fillId="7" borderId="5" xfId="2" applyFont="1" applyFill="1" applyBorder="1" applyAlignment="1">
      <alignment vertical="center" wrapText="1"/>
    </xf>
    <xf numFmtId="0" fontId="9" fillId="7" borderId="3" xfId="2" applyFont="1" applyFill="1" applyBorder="1" applyAlignment="1">
      <alignment vertical="center" wrapText="1"/>
    </xf>
    <xf numFmtId="0" fontId="9" fillId="7" borderId="4" xfId="2" applyFont="1" applyFill="1" applyBorder="1" applyAlignment="1">
      <alignment vertical="center" wrapText="1"/>
    </xf>
    <xf numFmtId="3" fontId="9" fillId="7" borderId="3" xfId="0" applyNumberFormat="1" applyFont="1" applyFill="1" applyBorder="1" applyAlignment="1">
      <alignment horizontal="center" vertical="center" wrapText="1"/>
    </xf>
    <xf numFmtId="3" fontId="9" fillId="7" borderId="4" xfId="0" applyNumberFormat="1" applyFont="1" applyFill="1" applyBorder="1" applyAlignment="1">
      <alignment horizontal="center" vertical="center" wrapText="1"/>
    </xf>
    <xf numFmtId="3" fontId="9" fillId="7" borderId="2" xfId="0" applyNumberFormat="1" applyFont="1" applyFill="1" applyBorder="1" applyAlignment="1">
      <alignment horizontal="center" vertical="center" wrapText="1"/>
    </xf>
    <xf numFmtId="3" fontId="9" fillId="7" borderId="6" xfId="0" applyNumberFormat="1"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1" xfId="2" applyFont="1" applyFill="1" applyBorder="1" applyAlignment="1">
      <alignment horizontal="left" vertical="center" wrapText="1"/>
    </xf>
    <xf numFmtId="3" fontId="6" fillId="0" borderId="1" xfId="2" applyNumberFormat="1" applyFont="1" applyFill="1" applyBorder="1" applyAlignment="1">
      <alignment horizontal="left" vertical="center" wrapText="1"/>
    </xf>
    <xf numFmtId="0" fontId="9" fillId="5" borderId="2" xfId="2" applyFont="1" applyFill="1" applyBorder="1" applyAlignment="1">
      <alignment horizontal="center" vertical="center" wrapText="1"/>
    </xf>
    <xf numFmtId="0" fontId="9" fillId="5" borderId="6" xfId="2" applyFont="1" applyFill="1" applyBorder="1" applyAlignment="1">
      <alignment horizontal="center" vertical="center" wrapText="1"/>
    </xf>
    <xf numFmtId="0" fontId="9" fillId="5" borderId="19" xfId="2" applyFont="1" applyFill="1" applyBorder="1" applyAlignment="1">
      <alignment horizontal="center" vertical="center"/>
    </xf>
    <xf numFmtId="0" fontId="9" fillId="5" borderId="22" xfId="2" applyFont="1" applyFill="1" applyBorder="1" applyAlignment="1">
      <alignment horizontal="center" vertical="center"/>
    </xf>
    <xf numFmtId="0" fontId="0" fillId="0" borderId="20" xfId="0" applyBorder="1" applyAlignment="1">
      <alignment horizontal="center" vertical="center"/>
    </xf>
    <xf numFmtId="0" fontId="26" fillId="16" borderId="0" xfId="2" applyFont="1" applyFill="1" applyBorder="1" applyAlignment="1">
      <alignment horizontal="center" vertical="center" wrapText="1"/>
    </xf>
    <xf numFmtId="0" fontId="27" fillId="16" borderId="0" xfId="2" applyFont="1" applyFill="1" applyBorder="1" applyAlignment="1">
      <alignment horizontal="center" vertical="center" wrapText="1"/>
    </xf>
    <xf numFmtId="0" fontId="10" fillId="5" borderId="1" xfId="2" applyFont="1" applyFill="1" applyBorder="1" applyAlignment="1">
      <alignment horizontal="center" vertical="center" wrapText="1"/>
    </xf>
    <xf numFmtId="0" fontId="9" fillId="5" borderId="1" xfId="2" applyFont="1" applyFill="1" applyBorder="1" applyAlignment="1">
      <alignment vertical="center" wrapText="1"/>
    </xf>
    <xf numFmtId="0" fontId="6" fillId="0" borderId="2" xfId="2" applyFont="1" applyFill="1" applyBorder="1" applyAlignment="1">
      <alignment horizontal="left" vertical="center" wrapText="1"/>
    </xf>
    <xf numFmtId="0" fontId="6" fillId="0" borderId="6" xfId="2" applyFont="1" applyFill="1" applyBorder="1" applyAlignment="1">
      <alignment horizontal="left" vertical="center" wrapText="1"/>
    </xf>
    <xf numFmtId="0" fontId="6" fillId="0" borderId="7" xfId="2" applyFont="1" applyFill="1" applyBorder="1" applyAlignment="1">
      <alignment horizontal="left" vertical="center" wrapText="1"/>
    </xf>
    <xf numFmtId="0" fontId="9" fillId="0" borderId="2" xfId="2" applyFont="1" applyFill="1" applyBorder="1" applyAlignment="1">
      <alignment horizontal="left" vertical="center" wrapText="1"/>
    </xf>
    <xf numFmtId="0" fontId="9" fillId="0" borderId="7"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2"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17" fillId="13" borderId="32" xfId="0" applyFont="1" applyFill="1" applyBorder="1" applyAlignment="1">
      <alignment horizontal="left" vertical="center" wrapText="1"/>
    </xf>
    <xf numFmtId="0" fontId="17" fillId="13" borderId="23" xfId="0" applyFont="1" applyFill="1" applyBorder="1" applyAlignment="1">
      <alignment horizontal="left" vertical="center" wrapText="1"/>
    </xf>
    <xf numFmtId="0" fontId="17" fillId="13" borderId="31" xfId="0" applyFont="1" applyFill="1" applyBorder="1" applyAlignment="1">
      <alignment horizontal="left" vertical="center" wrapText="1"/>
    </xf>
    <xf numFmtId="0" fontId="15" fillId="0" borderId="9" xfId="0" applyFont="1" applyBorder="1" applyAlignment="1">
      <alignment horizontal="left" vertical="center" wrapText="1"/>
    </xf>
    <xf numFmtId="0" fontId="15" fillId="0" borderId="1" xfId="0" applyFont="1" applyBorder="1" applyAlignment="1">
      <alignment horizontal="left" vertical="center" wrapText="1"/>
    </xf>
    <xf numFmtId="0" fontId="15" fillId="0" borderId="10" xfId="0" applyFont="1" applyBorder="1" applyAlignment="1">
      <alignment horizontal="left" vertical="center" wrapText="1"/>
    </xf>
    <xf numFmtId="0" fontId="19" fillId="13" borderId="33" xfId="0" applyFont="1" applyFill="1" applyBorder="1" applyAlignment="1">
      <alignment horizontal="left" vertical="center" wrapText="1"/>
    </xf>
    <xf numFmtId="0" fontId="19" fillId="13" borderId="16" xfId="0" applyFont="1" applyFill="1" applyBorder="1" applyAlignment="1">
      <alignment horizontal="left" vertical="center" wrapText="1"/>
    </xf>
    <xf numFmtId="0" fontId="19" fillId="13" borderId="17" xfId="0" applyFont="1" applyFill="1" applyBorder="1" applyAlignment="1">
      <alignment horizontal="left" vertical="center" wrapText="1"/>
    </xf>
    <xf numFmtId="0" fontId="17" fillId="13" borderId="37" xfId="0" applyFont="1" applyFill="1" applyBorder="1" applyAlignment="1">
      <alignment horizontal="left" vertical="center" wrapText="1"/>
    </xf>
    <xf numFmtId="0" fontId="17" fillId="13" borderId="41" xfId="0" applyFont="1" applyFill="1" applyBorder="1" applyAlignment="1">
      <alignment horizontal="left" vertical="center" wrapText="1"/>
    </xf>
    <xf numFmtId="0" fontId="15" fillId="0" borderId="21" xfId="0" applyFont="1" applyBorder="1" applyAlignment="1">
      <alignment horizontal="left" vertical="center"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28" xfId="0" applyFont="1" applyBorder="1" applyAlignment="1">
      <alignment horizontal="left" vertical="center" wrapText="1"/>
    </xf>
    <xf numFmtId="0" fontId="15" fillId="0" borderId="3" xfId="0" applyFont="1" applyBorder="1" applyAlignment="1">
      <alignment horizontal="left" vertical="center" wrapText="1"/>
    </xf>
    <xf numFmtId="0" fontId="15" fillId="0" borderId="25" xfId="0" applyFont="1" applyBorder="1" applyAlignment="1">
      <alignment horizontal="left" vertical="center" wrapText="1"/>
    </xf>
    <xf numFmtId="0" fontId="15" fillId="0" borderId="9" xfId="0" applyFont="1" applyBorder="1" applyAlignment="1">
      <alignment horizontal="left" vertical="center"/>
    </xf>
    <xf numFmtId="0" fontId="15" fillId="0" borderId="1" xfId="0" applyFont="1" applyBorder="1" applyAlignment="1">
      <alignment horizontal="left" vertical="center"/>
    </xf>
    <xf numFmtId="0" fontId="15" fillId="0" borderId="10" xfId="0" applyFont="1" applyBorder="1" applyAlignment="1">
      <alignment horizontal="left" vertical="center"/>
    </xf>
    <xf numFmtId="0" fontId="19" fillId="13" borderId="33" xfId="0" applyFont="1" applyFill="1" applyBorder="1" applyAlignment="1">
      <alignment horizontal="left" vertical="center"/>
    </xf>
    <xf numFmtId="0" fontId="19" fillId="13" borderId="16" xfId="0" applyFont="1" applyFill="1" applyBorder="1" applyAlignment="1">
      <alignment horizontal="left" vertical="center"/>
    </xf>
    <xf numFmtId="0" fontId="19" fillId="13" borderId="17" xfId="0" applyFont="1" applyFill="1" applyBorder="1" applyAlignment="1">
      <alignment horizontal="left" vertical="center"/>
    </xf>
    <xf numFmtId="0" fontId="15" fillId="8" borderId="10" xfId="0" applyFont="1" applyFill="1" applyBorder="1" applyAlignment="1">
      <alignment vertical="center"/>
    </xf>
    <xf numFmtId="0" fontId="15" fillId="0" borderId="9" xfId="0" applyFont="1" applyBorder="1" applyAlignment="1">
      <alignment wrapText="1"/>
    </xf>
    <xf numFmtId="0" fontId="15" fillId="0" borderId="1" xfId="0" applyFont="1" applyBorder="1" applyAlignment="1">
      <alignment wrapText="1"/>
    </xf>
    <xf numFmtId="0" fontId="19" fillId="13" borderId="33" xfId="0" applyFont="1" applyFill="1" applyBorder="1" applyAlignment="1">
      <alignment wrapText="1"/>
    </xf>
    <xf numFmtId="0" fontId="19" fillId="13" borderId="16" xfId="0" applyFont="1" applyFill="1" applyBorder="1" applyAlignment="1">
      <alignment wrapText="1"/>
    </xf>
    <xf numFmtId="0" fontId="17" fillId="13" borderId="29" xfId="0" applyFont="1" applyFill="1" applyBorder="1" applyAlignment="1">
      <alignment horizontal="left" vertical="center" wrapText="1"/>
    </xf>
    <xf numFmtId="0" fontId="17" fillId="13" borderId="30" xfId="0" applyFont="1" applyFill="1" applyBorder="1" applyAlignment="1">
      <alignment horizontal="left" vertical="center" wrapText="1"/>
    </xf>
    <xf numFmtId="0" fontId="17" fillId="13" borderId="34" xfId="0" applyFont="1" applyFill="1" applyBorder="1" applyAlignment="1">
      <alignment horizontal="left" vertical="center" wrapText="1"/>
    </xf>
    <xf numFmtId="0" fontId="19" fillId="13" borderId="14" xfId="0" applyFont="1" applyFill="1" applyBorder="1" applyAlignment="1">
      <alignment horizontal="left" vertical="center" wrapText="1"/>
    </xf>
    <xf numFmtId="0" fontId="29" fillId="0" borderId="0" xfId="0" applyFont="1" applyAlignment="1">
      <alignment horizontal="center"/>
    </xf>
    <xf numFmtId="0" fontId="15" fillId="0" borderId="9" xfId="0" applyFont="1" applyFill="1" applyBorder="1" applyAlignment="1">
      <alignment horizontal="center" wrapText="1"/>
    </xf>
    <xf numFmtId="0" fontId="15" fillId="0" borderId="1" xfId="0" applyFont="1" applyFill="1" applyBorder="1" applyAlignment="1">
      <alignment horizont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3" fontId="17"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0" fontId="17" fillId="0" borderId="3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13" borderId="32" xfId="0" applyFont="1" applyFill="1" applyBorder="1" applyAlignment="1">
      <alignment horizontal="center" vertical="center" wrapText="1"/>
    </xf>
    <xf numFmtId="0" fontId="17" fillId="13" borderId="23" xfId="0" applyFont="1" applyFill="1" applyBorder="1" applyAlignment="1">
      <alignment horizontal="center" vertical="center" wrapText="1"/>
    </xf>
    <xf numFmtId="0" fontId="17" fillId="8" borderId="32" xfId="0" applyFont="1" applyFill="1" applyBorder="1" applyAlignment="1">
      <alignment horizontal="left" vertical="center"/>
    </xf>
    <xf numFmtId="0" fontId="17" fillId="8" borderId="23" xfId="0" applyFont="1" applyFill="1" applyBorder="1" applyAlignment="1">
      <alignment horizontal="left" vertical="center"/>
    </xf>
    <xf numFmtId="0" fontId="17" fillId="13" borderId="9"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20" fillId="0" borderId="10" xfId="0" applyFont="1" applyBorder="1" applyAlignment="1">
      <alignment horizontal="center" vertical="center" wrapText="1"/>
    </xf>
    <xf numFmtId="0" fontId="15" fillId="0" borderId="10" xfId="0" applyFont="1" applyBorder="1" applyAlignment="1">
      <alignment horizontal="center"/>
    </xf>
    <xf numFmtId="0" fontId="17" fillId="8" borderId="0" xfId="0" applyFont="1" applyFill="1" applyBorder="1" applyAlignment="1">
      <alignment horizontal="center" vertical="center" wrapText="1"/>
    </xf>
    <xf numFmtId="0" fontId="17" fillId="13" borderId="32" xfId="0" applyFont="1" applyFill="1" applyBorder="1" applyAlignment="1">
      <alignment wrapText="1"/>
    </xf>
    <xf numFmtId="0" fontId="17" fillId="13" borderId="23" xfId="0" applyFont="1" applyFill="1" applyBorder="1" applyAlignment="1">
      <alignment wrapText="1"/>
    </xf>
    <xf numFmtId="0" fontId="19" fillId="13" borderId="26" xfId="0" applyFont="1" applyFill="1" applyBorder="1" applyAlignment="1">
      <alignment horizontal="left" vertical="center" wrapText="1"/>
    </xf>
    <xf numFmtId="0" fontId="19" fillId="13" borderId="18" xfId="0" applyFont="1" applyFill="1" applyBorder="1" applyAlignment="1">
      <alignment horizontal="left" vertical="center" wrapText="1"/>
    </xf>
    <xf numFmtId="0" fontId="19" fillId="13" borderId="15" xfId="0" applyFont="1" applyFill="1" applyBorder="1" applyAlignment="1">
      <alignment horizontal="left" vertical="center" wrapText="1"/>
    </xf>
    <xf numFmtId="0" fontId="15" fillId="0" borderId="5" xfId="0" applyFont="1" applyBorder="1" applyAlignment="1">
      <alignment horizontal="left" vertical="center" wrapText="1"/>
    </xf>
    <xf numFmtId="0" fontId="17" fillId="0" borderId="0" xfId="0" applyFont="1" applyAlignment="1">
      <alignment horizontal="left" vertical="center" wrapText="1"/>
    </xf>
    <xf numFmtId="0" fontId="19" fillId="13" borderId="42" xfId="0" applyFont="1" applyFill="1" applyBorder="1" applyAlignment="1">
      <alignment horizontal="center" wrapText="1"/>
    </xf>
    <xf numFmtId="0" fontId="19" fillId="13" borderId="43" xfId="0" applyFont="1" applyFill="1" applyBorder="1" applyAlignment="1">
      <alignment horizontal="center" wrapText="1"/>
    </xf>
    <xf numFmtId="0" fontId="19" fillId="13" borderId="44" xfId="0" applyFont="1" applyFill="1" applyBorder="1" applyAlignment="1">
      <alignment horizontal="center" wrapText="1"/>
    </xf>
    <xf numFmtId="0" fontId="17" fillId="13" borderId="32" xfId="0" applyFont="1" applyFill="1" applyBorder="1" applyAlignment="1">
      <alignment horizontal="left" wrapText="1"/>
    </xf>
    <xf numFmtId="0" fontId="17" fillId="13" borderId="23" xfId="0" applyFont="1" applyFill="1" applyBorder="1" applyAlignment="1">
      <alignment horizontal="left" wrapText="1"/>
    </xf>
    <xf numFmtId="0" fontId="17" fillId="13" borderId="37" xfId="0" applyFont="1" applyFill="1" applyBorder="1" applyAlignment="1">
      <alignment horizontal="left" wrapText="1"/>
    </xf>
    <xf numFmtId="0" fontId="17" fillId="13" borderId="31" xfId="0" applyFont="1" applyFill="1" applyBorder="1" applyAlignment="1">
      <alignment horizontal="left" wrapText="1"/>
    </xf>
    <xf numFmtId="0" fontId="17" fillId="13" borderId="32" xfId="0" applyFont="1" applyFill="1" applyBorder="1" applyAlignment="1">
      <alignment horizontal="left" vertical="top" wrapText="1"/>
    </xf>
    <xf numFmtId="0" fontId="17" fillId="13" borderId="23" xfId="0" applyFont="1" applyFill="1" applyBorder="1" applyAlignment="1">
      <alignment horizontal="left" vertical="top" wrapText="1"/>
    </xf>
    <xf numFmtId="0" fontId="17" fillId="13" borderId="31" xfId="0" applyFont="1" applyFill="1" applyBorder="1" applyAlignment="1">
      <alignment horizontal="left" vertical="top" wrapText="1"/>
    </xf>
    <xf numFmtId="0" fontId="17" fillId="13" borderId="33" xfId="0" applyFont="1" applyFill="1" applyBorder="1" applyAlignment="1">
      <alignment horizontal="left" vertical="center" wrapText="1"/>
    </xf>
    <xf numFmtId="0" fontId="17" fillId="13" borderId="16" xfId="0" applyFont="1" applyFill="1" applyBorder="1" applyAlignment="1">
      <alignment horizontal="left" vertical="center" wrapText="1"/>
    </xf>
    <xf numFmtId="0" fontId="17" fillId="13" borderId="17" xfId="0" applyFont="1" applyFill="1" applyBorder="1" applyAlignment="1">
      <alignment horizontal="left" vertical="center" wrapText="1"/>
    </xf>
    <xf numFmtId="0" fontId="17" fillId="5" borderId="3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17" fillId="5" borderId="31" xfId="0" applyFont="1" applyFill="1" applyBorder="1" applyAlignment="1">
      <alignment horizontal="left" vertical="center" wrapText="1"/>
    </xf>
    <xf numFmtId="0" fontId="17" fillId="0" borderId="0" xfId="0" applyFont="1" applyAlignment="1">
      <alignment wrapText="1"/>
    </xf>
    <xf numFmtId="0" fontId="15" fillId="8" borderId="9" xfId="0" applyFont="1" applyFill="1" applyBorder="1" applyAlignment="1">
      <alignment horizontal="left" vertical="center" wrapText="1"/>
    </xf>
    <xf numFmtId="0" fontId="15" fillId="8" borderId="1"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5" fillId="0" borderId="10" xfId="0" applyFont="1" applyBorder="1" applyAlignment="1">
      <alignment horizontal="center" vertical="center" wrapText="1"/>
    </xf>
    <xf numFmtId="0" fontId="17" fillId="5" borderId="37" xfId="0" applyFont="1" applyFill="1" applyBorder="1" applyAlignment="1">
      <alignment horizontal="left" vertical="center" wrapText="1"/>
    </xf>
    <xf numFmtId="0" fontId="17" fillId="0" borderId="9" xfId="0" applyFont="1" applyBorder="1" applyAlignment="1">
      <alignment horizontal="left" vertical="center" wrapText="1"/>
    </xf>
    <xf numFmtId="0" fontId="17" fillId="0" borderId="1" xfId="0" applyFont="1" applyBorder="1" applyAlignment="1">
      <alignment horizontal="left" vertical="center" wrapText="1"/>
    </xf>
    <xf numFmtId="0" fontId="17" fillId="0" borderId="28" xfId="0" applyFont="1" applyBorder="1" applyAlignment="1">
      <alignment horizontal="left"/>
    </xf>
    <xf numFmtId="0" fontId="17" fillId="0" borderId="3" xfId="0" applyFont="1" applyBorder="1" applyAlignment="1">
      <alignment horizontal="left"/>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7" fillId="0" borderId="1" xfId="0" applyFont="1" applyFill="1" applyBorder="1" applyAlignment="1">
      <alignment wrapText="1"/>
    </xf>
    <xf numFmtId="0" fontId="17" fillId="0" borderId="1" xfId="0" applyFont="1" applyFill="1" applyBorder="1" applyAlignment="1"/>
    <xf numFmtId="0" fontId="15" fillId="0" borderId="0" xfId="0" applyFont="1" applyAlignment="1">
      <alignment horizontal="left" vertical="top" wrapText="1"/>
    </xf>
    <xf numFmtId="0" fontId="15" fillId="8" borderId="28"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25" xfId="0" applyFont="1" applyFill="1" applyBorder="1" applyAlignment="1">
      <alignment horizontal="left" vertical="center" wrapText="1"/>
    </xf>
    <xf numFmtId="0" fontId="17" fillId="8" borderId="32" xfId="0" applyFont="1" applyFill="1" applyBorder="1" applyAlignment="1">
      <alignment horizontal="left" vertical="center" wrapText="1"/>
    </xf>
    <xf numFmtId="0" fontId="17" fillId="8" borderId="23" xfId="0" applyFont="1" applyFill="1" applyBorder="1" applyAlignment="1">
      <alignment horizontal="left" vertical="center" wrapText="1"/>
    </xf>
    <xf numFmtId="0" fontId="17" fillId="8" borderId="31" xfId="0" applyFont="1" applyFill="1" applyBorder="1" applyAlignment="1">
      <alignment horizontal="left" vertical="center" wrapText="1"/>
    </xf>
    <xf numFmtId="0" fontId="15" fillId="0" borderId="28"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7" fillId="0" borderId="10" xfId="0" applyFont="1" applyBorder="1" applyAlignment="1">
      <alignment horizontal="left" vertical="center" wrapText="1"/>
    </xf>
    <xf numFmtId="0" fontId="19" fillId="0" borderId="10" xfId="0" applyFont="1" applyBorder="1" applyAlignment="1">
      <alignment horizontal="left" vertical="center" wrapText="1"/>
    </xf>
    <xf numFmtId="0" fontId="19" fillId="5" borderId="26" xfId="0" applyFont="1" applyFill="1" applyBorder="1" applyAlignment="1">
      <alignment horizontal="left" vertical="center"/>
    </xf>
    <xf numFmtId="0" fontId="19" fillId="5" borderId="18" xfId="0" applyFont="1" applyFill="1" applyBorder="1" applyAlignment="1">
      <alignment horizontal="left" vertical="center"/>
    </xf>
    <xf numFmtId="0" fontId="19" fillId="5" borderId="27" xfId="0" applyFont="1" applyFill="1" applyBorder="1" applyAlignment="1">
      <alignment horizontal="left" vertical="center"/>
    </xf>
    <xf numFmtId="0" fontId="15" fillId="0" borderId="0" xfId="0" applyFont="1" applyAlignment="1">
      <alignment wrapText="1"/>
    </xf>
    <xf numFmtId="0" fontId="17" fillId="13" borderId="32" xfId="0" applyFont="1" applyFill="1" applyBorder="1" applyAlignment="1">
      <alignment horizontal="left" vertical="center"/>
    </xf>
    <xf numFmtId="0" fontId="17" fillId="13" borderId="23" xfId="0" applyFont="1" applyFill="1" applyBorder="1" applyAlignment="1">
      <alignment horizontal="left" vertical="center"/>
    </xf>
    <xf numFmtId="0" fontId="17" fillId="13" borderId="31" xfId="0" applyFont="1" applyFill="1" applyBorder="1" applyAlignment="1">
      <alignment horizontal="left" vertical="center"/>
    </xf>
    <xf numFmtId="0" fontId="17" fillId="13" borderId="32" xfId="0" applyFont="1" applyFill="1" applyBorder="1" applyAlignment="1">
      <alignment vertical="center" wrapText="1"/>
    </xf>
    <xf numFmtId="0" fontId="17" fillId="13" borderId="23" xfId="0" applyFont="1" applyFill="1" applyBorder="1" applyAlignment="1">
      <alignment vertical="center" wrapText="1"/>
    </xf>
    <xf numFmtId="0" fontId="17" fillId="13" borderId="31" xfId="0" applyFont="1" applyFill="1" applyBorder="1" applyAlignment="1">
      <alignment vertical="center" wrapText="1"/>
    </xf>
    <xf numFmtId="0" fontId="17" fillId="13" borderId="39" xfId="0" applyFont="1" applyFill="1" applyBorder="1" applyAlignment="1">
      <alignment horizontal="left" vertical="center" wrapText="1"/>
    </xf>
    <xf numFmtId="0" fontId="17" fillId="13" borderId="6" xfId="0" applyFont="1" applyFill="1" applyBorder="1" applyAlignment="1">
      <alignment horizontal="left" vertical="center" wrapText="1"/>
    </xf>
    <xf numFmtId="0" fontId="17" fillId="13" borderId="13" xfId="0" applyFont="1" applyFill="1" applyBorder="1" applyAlignment="1">
      <alignment horizontal="left" vertical="center" wrapText="1"/>
    </xf>
    <xf numFmtId="0" fontId="9" fillId="5" borderId="1" xfId="2" applyFont="1" applyFill="1" applyBorder="1" applyAlignment="1">
      <alignment horizontal="left" vertical="center" wrapText="1"/>
    </xf>
    <xf numFmtId="0" fontId="10" fillId="9" borderId="1" xfId="2" applyFont="1" applyFill="1" applyBorder="1" applyAlignment="1">
      <alignment horizontal="left" vertical="center" wrapText="1"/>
    </xf>
    <xf numFmtId="168" fontId="9" fillId="9" borderId="1" xfId="7" applyNumberFormat="1" applyFont="1" applyFill="1" applyBorder="1" applyAlignment="1">
      <alignment horizontal="center" vertical="center" wrapText="1"/>
    </xf>
    <xf numFmtId="3" fontId="4" fillId="9" borderId="1" xfId="0" applyNumberFormat="1" applyFont="1" applyFill="1" applyBorder="1" applyAlignment="1">
      <alignment horizontal="center" vertical="center" wrapText="1"/>
    </xf>
    <xf numFmtId="168" fontId="2" fillId="9" borderId="1" xfId="7" applyNumberFormat="1" applyFont="1" applyFill="1" applyBorder="1" applyAlignment="1">
      <alignment horizontal="center" vertical="center" wrapText="1"/>
    </xf>
    <xf numFmtId="168" fontId="24" fillId="9" borderId="1" xfId="7" applyNumberFormat="1" applyFont="1" applyFill="1" applyBorder="1" applyAlignment="1">
      <alignment horizontal="center" vertical="center" wrapText="1"/>
    </xf>
    <xf numFmtId="0" fontId="9" fillId="5" borderId="1" xfId="2" applyFont="1" applyFill="1" applyBorder="1" applyAlignment="1">
      <alignment horizontal="left" vertical="center"/>
    </xf>
    <xf numFmtId="0" fontId="9" fillId="0" borderId="1" xfId="2" applyFont="1" applyFill="1" applyBorder="1" applyAlignment="1">
      <alignment horizontal="left" vertical="center" wrapText="1"/>
    </xf>
    <xf numFmtId="0" fontId="9"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24" fillId="9" borderId="1" xfId="2" applyFont="1" applyFill="1" applyBorder="1" applyAlignment="1">
      <alignment horizontal="center" vertical="center" wrapText="1"/>
    </xf>
    <xf numFmtId="168" fontId="14" fillId="9" borderId="1" xfId="7" applyNumberFormat="1" applyFont="1" applyFill="1" applyBorder="1" applyAlignment="1">
      <alignment horizontal="center" vertical="center" wrapText="1"/>
    </xf>
    <xf numFmtId="9" fontId="14" fillId="9" borderId="1" xfId="1" applyFont="1" applyFill="1" applyBorder="1" applyAlignment="1">
      <alignment horizontal="center" vertical="center" wrapText="1"/>
    </xf>
    <xf numFmtId="0" fontId="28" fillId="0" borderId="0" xfId="2" applyFont="1" applyBorder="1" applyAlignment="1">
      <alignment horizontal="center" wrapText="1"/>
    </xf>
    <xf numFmtId="0" fontId="33" fillId="0" borderId="1" xfId="0" applyFont="1" applyBorder="1" applyAlignment="1">
      <alignment horizontal="center" vertical="center"/>
    </xf>
    <xf numFmtId="0" fontId="17" fillId="15" borderId="28"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7" fillId="15" borderId="25" xfId="0" applyFont="1" applyFill="1" applyBorder="1" applyAlignment="1">
      <alignment horizontal="left" vertical="center" wrapText="1"/>
    </xf>
    <xf numFmtId="0" fontId="30" fillId="16" borderId="0" xfId="0" applyFont="1" applyFill="1" applyAlignment="1">
      <alignment horizontal="center" vertical="center"/>
    </xf>
    <xf numFmtId="0" fontId="17" fillId="13" borderId="9" xfId="0" applyFont="1" applyFill="1" applyBorder="1" applyAlignment="1">
      <alignment horizontal="left" vertical="center"/>
    </xf>
    <xf numFmtId="0" fontId="17" fillId="13" borderId="1" xfId="0" applyFont="1" applyFill="1" applyBorder="1" applyAlignment="1">
      <alignment horizontal="left" vertical="center"/>
    </xf>
    <xf numFmtId="0" fontId="0" fillId="0" borderId="9" xfId="0" applyFont="1" applyBorder="1" applyAlignment="1">
      <alignment horizontal="left" vertical="center" wrapText="1"/>
    </xf>
    <xf numFmtId="0" fontId="0" fillId="0" borderId="1" xfId="0" applyFont="1" applyBorder="1" applyAlignment="1">
      <alignment horizontal="left" vertical="center" wrapText="1"/>
    </xf>
    <xf numFmtId="0" fontId="17" fillId="14" borderId="32" xfId="0" applyFont="1" applyFill="1" applyBorder="1" applyAlignment="1">
      <alignment horizontal="left" vertical="center"/>
    </xf>
    <xf numFmtId="0" fontId="17" fillId="14" borderId="23" xfId="0" applyFont="1" applyFill="1" applyBorder="1" applyAlignment="1">
      <alignment horizontal="left" vertical="center"/>
    </xf>
    <xf numFmtId="0" fontId="17" fillId="14" borderId="33" xfId="0" applyFont="1" applyFill="1" applyBorder="1" applyAlignment="1">
      <alignment horizontal="left" vertical="center"/>
    </xf>
    <xf numFmtId="0" fontId="17" fillId="14" borderId="16" xfId="0" applyFont="1" applyFill="1" applyBorder="1" applyAlignment="1">
      <alignment horizontal="left" vertical="center"/>
    </xf>
    <xf numFmtId="0" fontId="34" fillId="16" borderId="0" xfId="0" applyFont="1" applyFill="1" applyBorder="1" applyAlignment="1">
      <alignment horizontal="left" vertical="center"/>
    </xf>
    <xf numFmtId="0" fontId="34" fillId="16" borderId="0" xfId="0" applyFont="1" applyFill="1" applyBorder="1" applyAlignment="1">
      <alignment horizontal="left" wrapText="1"/>
    </xf>
    <xf numFmtId="0" fontId="34" fillId="16" borderId="0" xfId="0" applyFont="1" applyFill="1" applyBorder="1" applyAlignment="1">
      <alignment horizontal="left" vertical="center" wrapText="1"/>
    </xf>
    <xf numFmtId="0" fontId="2" fillId="0" borderId="5" xfId="0" applyFont="1" applyBorder="1" applyAlignment="1">
      <alignment horizontal="left" wrapText="1"/>
    </xf>
    <xf numFmtId="0" fontId="2" fillId="0" borderId="4" xfId="0" applyFont="1" applyBorder="1" applyAlignment="1">
      <alignment horizontal="left" wrapText="1"/>
    </xf>
  </cellXfs>
  <cellStyles count="11">
    <cellStyle name="Bad" xfId="4" builtinId="27"/>
    <cellStyle name="Comma" xfId="7" builtinId="3"/>
    <cellStyle name="Normal" xfId="0" builtinId="0"/>
    <cellStyle name="Normal 2" xfId="2"/>
    <cellStyle name="Normal 2 2" xfId="8"/>
    <cellStyle name="Normal 3" xfId="10"/>
    <cellStyle name="Normal_RCC work plan._ Revised June 18, 2008 semi final" xfId="6"/>
    <cellStyle name="Normal_RCC work plan._ Revised June 18, 2008 semi final_01. WP &amp; Budget-Total" xfId="9"/>
    <cellStyle name="Normal_RCC-Detailed Assumption-Copy-25.6.08" xfId="5"/>
    <cellStyle name="Percent" xfId="1" builtinId="5"/>
    <cellStyle name="Tusental 2" xfId="3"/>
  </cellStyles>
  <dxfs count="0"/>
  <tableStyles count="0" defaultTableStyle="TableStyleMedium2" defaultPivotStyle="PivotStyleLight16"/>
  <colors>
    <mruColors>
      <color rgb="FFCCFFFF"/>
      <color rgb="FFFF66CC"/>
      <color rgb="FF99FF99"/>
      <color rgb="FF99FF66"/>
      <color rgb="FFCCECFF"/>
      <color rgb="FFFFFF99"/>
      <color rgb="FFFFCCFF"/>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I18"/>
  <sheetViews>
    <sheetView tabSelected="1" zoomScale="90" zoomScaleNormal="90" workbookViewId="0">
      <selection activeCell="J19" sqref="J19"/>
    </sheetView>
  </sheetViews>
  <sheetFormatPr defaultRowHeight="15"/>
  <cols>
    <col min="1" max="1" width="4.28515625" style="33" customWidth="1"/>
    <col min="2" max="2" width="67.5703125" style="33" customWidth="1"/>
    <col min="3" max="3" width="4.28515625" style="33" customWidth="1"/>
    <col min="4" max="8" width="7.140625" style="33" customWidth="1"/>
    <col min="9" max="254" width="9.140625" style="33"/>
    <col min="255" max="255" width="62.42578125" style="33" customWidth="1"/>
    <col min="256" max="256" width="4.28515625" style="33" customWidth="1"/>
    <col min="257" max="257" width="5.85546875" style="33" customWidth="1"/>
    <col min="258" max="258" width="5.140625" style="33" customWidth="1"/>
    <col min="259" max="259" width="6" style="33" customWidth="1"/>
    <col min="260" max="261" width="5.28515625" style="33" customWidth="1"/>
    <col min="262" max="510" width="9.140625" style="33"/>
    <col min="511" max="511" width="62.42578125" style="33" customWidth="1"/>
    <col min="512" max="512" width="4.28515625" style="33" customWidth="1"/>
    <col min="513" max="513" width="5.85546875" style="33" customWidth="1"/>
    <col min="514" max="514" width="5.140625" style="33" customWidth="1"/>
    <col min="515" max="515" width="6" style="33" customWidth="1"/>
    <col min="516" max="517" width="5.28515625" style="33" customWidth="1"/>
    <col min="518" max="766" width="9.140625" style="33"/>
    <col min="767" max="767" width="62.42578125" style="33" customWidth="1"/>
    <col min="768" max="768" width="4.28515625" style="33" customWidth="1"/>
    <col min="769" max="769" width="5.85546875" style="33" customWidth="1"/>
    <col min="770" max="770" width="5.140625" style="33" customWidth="1"/>
    <col min="771" max="771" width="6" style="33" customWidth="1"/>
    <col min="772" max="773" width="5.28515625" style="33" customWidth="1"/>
    <col min="774" max="1022" width="9.140625" style="33"/>
    <col min="1023" max="1023" width="62.42578125" style="33" customWidth="1"/>
    <col min="1024" max="1024" width="4.28515625" style="33" customWidth="1"/>
    <col min="1025" max="1025" width="5.85546875" style="33" customWidth="1"/>
    <col min="1026" max="1026" width="5.140625" style="33" customWidth="1"/>
    <col min="1027" max="1027" width="6" style="33" customWidth="1"/>
    <col min="1028" max="1029" width="5.28515625" style="33" customWidth="1"/>
    <col min="1030" max="1278" width="9.140625" style="33"/>
    <col min="1279" max="1279" width="62.42578125" style="33" customWidth="1"/>
    <col min="1280" max="1280" width="4.28515625" style="33" customWidth="1"/>
    <col min="1281" max="1281" width="5.85546875" style="33" customWidth="1"/>
    <col min="1282" max="1282" width="5.140625" style="33" customWidth="1"/>
    <col min="1283" max="1283" width="6" style="33" customWidth="1"/>
    <col min="1284" max="1285" width="5.28515625" style="33" customWidth="1"/>
    <col min="1286" max="1534" width="9.140625" style="33"/>
    <col min="1535" max="1535" width="62.42578125" style="33" customWidth="1"/>
    <col min="1536" max="1536" width="4.28515625" style="33" customWidth="1"/>
    <col min="1537" max="1537" width="5.85546875" style="33" customWidth="1"/>
    <col min="1538" max="1538" width="5.140625" style="33" customWidth="1"/>
    <col min="1539" max="1539" width="6" style="33" customWidth="1"/>
    <col min="1540" max="1541" width="5.28515625" style="33" customWidth="1"/>
    <col min="1542" max="1790" width="9.140625" style="33"/>
    <col min="1791" max="1791" width="62.42578125" style="33" customWidth="1"/>
    <col min="1792" max="1792" width="4.28515625" style="33" customWidth="1"/>
    <col min="1793" max="1793" width="5.85546875" style="33" customWidth="1"/>
    <col min="1794" max="1794" width="5.140625" style="33" customWidth="1"/>
    <col min="1795" max="1795" width="6" style="33" customWidth="1"/>
    <col min="1796" max="1797" width="5.28515625" style="33" customWidth="1"/>
    <col min="1798" max="2046" width="9.140625" style="33"/>
    <col min="2047" max="2047" width="62.42578125" style="33" customWidth="1"/>
    <col min="2048" max="2048" width="4.28515625" style="33" customWidth="1"/>
    <col min="2049" max="2049" width="5.85546875" style="33" customWidth="1"/>
    <col min="2050" max="2050" width="5.140625" style="33" customWidth="1"/>
    <col min="2051" max="2051" width="6" style="33" customWidth="1"/>
    <col min="2052" max="2053" width="5.28515625" style="33" customWidth="1"/>
    <col min="2054" max="2302" width="9.140625" style="33"/>
    <col min="2303" max="2303" width="62.42578125" style="33" customWidth="1"/>
    <col min="2304" max="2304" width="4.28515625" style="33" customWidth="1"/>
    <col min="2305" max="2305" width="5.85546875" style="33" customWidth="1"/>
    <col min="2306" max="2306" width="5.140625" style="33" customWidth="1"/>
    <col min="2307" max="2307" width="6" style="33" customWidth="1"/>
    <col min="2308" max="2309" width="5.28515625" style="33" customWidth="1"/>
    <col min="2310" max="2558" width="9.140625" style="33"/>
    <col min="2559" max="2559" width="62.42578125" style="33" customWidth="1"/>
    <col min="2560" max="2560" width="4.28515625" style="33" customWidth="1"/>
    <col min="2561" max="2561" width="5.85546875" style="33" customWidth="1"/>
    <col min="2562" max="2562" width="5.140625" style="33" customWidth="1"/>
    <col min="2563" max="2563" width="6" style="33" customWidth="1"/>
    <col min="2564" max="2565" width="5.28515625" style="33" customWidth="1"/>
    <col min="2566" max="2814" width="9.140625" style="33"/>
    <col min="2815" max="2815" width="62.42578125" style="33" customWidth="1"/>
    <col min="2816" max="2816" width="4.28515625" style="33" customWidth="1"/>
    <col min="2817" max="2817" width="5.85546875" style="33" customWidth="1"/>
    <col min="2818" max="2818" width="5.140625" style="33" customWidth="1"/>
    <col min="2819" max="2819" width="6" style="33" customWidth="1"/>
    <col min="2820" max="2821" width="5.28515625" style="33" customWidth="1"/>
    <col min="2822" max="3070" width="9.140625" style="33"/>
    <col min="3071" max="3071" width="62.42578125" style="33" customWidth="1"/>
    <col min="3072" max="3072" width="4.28515625" style="33" customWidth="1"/>
    <col min="3073" max="3073" width="5.85546875" style="33" customWidth="1"/>
    <col min="3074" max="3074" width="5.140625" style="33" customWidth="1"/>
    <col min="3075" max="3075" width="6" style="33" customWidth="1"/>
    <col min="3076" max="3077" width="5.28515625" style="33" customWidth="1"/>
    <col min="3078" max="3326" width="9.140625" style="33"/>
    <col min="3327" max="3327" width="62.42578125" style="33" customWidth="1"/>
    <col min="3328" max="3328" width="4.28515625" style="33" customWidth="1"/>
    <col min="3329" max="3329" width="5.85546875" style="33" customWidth="1"/>
    <col min="3330" max="3330" width="5.140625" style="33" customWidth="1"/>
    <col min="3331" max="3331" width="6" style="33" customWidth="1"/>
    <col min="3332" max="3333" width="5.28515625" style="33" customWidth="1"/>
    <col min="3334" max="3582" width="9.140625" style="33"/>
    <col min="3583" max="3583" width="62.42578125" style="33" customWidth="1"/>
    <col min="3584" max="3584" width="4.28515625" style="33" customWidth="1"/>
    <col min="3585" max="3585" width="5.85546875" style="33" customWidth="1"/>
    <col min="3586" max="3586" width="5.140625" style="33" customWidth="1"/>
    <col min="3587" max="3587" width="6" style="33" customWidth="1"/>
    <col min="3588" max="3589" width="5.28515625" style="33" customWidth="1"/>
    <col min="3590" max="3838" width="9.140625" style="33"/>
    <col min="3839" max="3839" width="62.42578125" style="33" customWidth="1"/>
    <col min="3840" max="3840" width="4.28515625" style="33" customWidth="1"/>
    <col min="3841" max="3841" width="5.85546875" style="33" customWidth="1"/>
    <col min="3842" max="3842" width="5.140625" style="33" customWidth="1"/>
    <col min="3843" max="3843" width="6" style="33" customWidth="1"/>
    <col min="3844" max="3845" width="5.28515625" style="33" customWidth="1"/>
    <col min="3846" max="4094" width="9.140625" style="33"/>
    <col min="4095" max="4095" width="62.42578125" style="33" customWidth="1"/>
    <col min="4096" max="4096" width="4.28515625" style="33" customWidth="1"/>
    <col min="4097" max="4097" width="5.85546875" style="33" customWidth="1"/>
    <col min="4098" max="4098" width="5.140625" style="33" customWidth="1"/>
    <col min="4099" max="4099" width="6" style="33" customWidth="1"/>
    <col min="4100" max="4101" width="5.28515625" style="33" customWidth="1"/>
    <col min="4102" max="4350" width="9.140625" style="33"/>
    <col min="4351" max="4351" width="62.42578125" style="33" customWidth="1"/>
    <col min="4352" max="4352" width="4.28515625" style="33" customWidth="1"/>
    <col min="4353" max="4353" width="5.85546875" style="33" customWidth="1"/>
    <col min="4354" max="4354" width="5.140625" style="33" customWidth="1"/>
    <col min="4355" max="4355" width="6" style="33" customWidth="1"/>
    <col min="4356" max="4357" width="5.28515625" style="33" customWidth="1"/>
    <col min="4358" max="4606" width="9.140625" style="33"/>
    <col min="4607" max="4607" width="62.42578125" style="33" customWidth="1"/>
    <col min="4608" max="4608" width="4.28515625" style="33" customWidth="1"/>
    <col min="4609" max="4609" width="5.85546875" style="33" customWidth="1"/>
    <col min="4610" max="4610" width="5.140625" style="33" customWidth="1"/>
    <col min="4611" max="4611" width="6" style="33" customWidth="1"/>
    <col min="4612" max="4613" width="5.28515625" style="33" customWidth="1"/>
    <col min="4614" max="4862" width="9.140625" style="33"/>
    <col min="4863" max="4863" width="62.42578125" style="33" customWidth="1"/>
    <col min="4864" max="4864" width="4.28515625" style="33" customWidth="1"/>
    <col min="4865" max="4865" width="5.85546875" style="33" customWidth="1"/>
    <col min="4866" max="4866" width="5.140625" style="33" customWidth="1"/>
    <col min="4867" max="4867" width="6" style="33" customWidth="1"/>
    <col min="4868" max="4869" width="5.28515625" style="33" customWidth="1"/>
    <col min="4870" max="5118" width="9.140625" style="33"/>
    <col min="5119" max="5119" width="62.42578125" style="33" customWidth="1"/>
    <col min="5120" max="5120" width="4.28515625" style="33" customWidth="1"/>
    <col min="5121" max="5121" width="5.85546875" style="33" customWidth="1"/>
    <col min="5122" max="5122" width="5.140625" style="33" customWidth="1"/>
    <col min="5123" max="5123" width="6" style="33" customWidth="1"/>
    <col min="5124" max="5125" width="5.28515625" style="33" customWidth="1"/>
    <col min="5126" max="5374" width="9.140625" style="33"/>
    <col min="5375" max="5375" width="62.42578125" style="33" customWidth="1"/>
    <col min="5376" max="5376" width="4.28515625" style="33" customWidth="1"/>
    <col min="5377" max="5377" width="5.85546875" style="33" customWidth="1"/>
    <col min="5378" max="5378" width="5.140625" style="33" customWidth="1"/>
    <col min="5379" max="5379" width="6" style="33" customWidth="1"/>
    <col min="5380" max="5381" width="5.28515625" style="33" customWidth="1"/>
    <col min="5382" max="5630" width="9.140625" style="33"/>
    <col min="5631" max="5631" width="62.42578125" style="33" customWidth="1"/>
    <col min="5632" max="5632" width="4.28515625" style="33" customWidth="1"/>
    <col min="5633" max="5633" width="5.85546875" style="33" customWidth="1"/>
    <col min="5634" max="5634" width="5.140625" style="33" customWidth="1"/>
    <col min="5635" max="5635" width="6" style="33" customWidth="1"/>
    <col min="5636" max="5637" width="5.28515625" style="33" customWidth="1"/>
    <col min="5638" max="5886" width="9.140625" style="33"/>
    <col min="5887" max="5887" width="62.42578125" style="33" customWidth="1"/>
    <col min="5888" max="5888" width="4.28515625" style="33" customWidth="1"/>
    <col min="5889" max="5889" width="5.85546875" style="33" customWidth="1"/>
    <col min="5890" max="5890" width="5.140625" style="33" customWidth="1"/>
    <col min="5891" max="5891" width="6" style="33" customWidth="1"/>
    <col min="5892" max="5893" width="5.28515625" style="33" customWidth="1"/>
    <col min="5894" max="6142" width="9.140625" style="33"/>
    <col min="6143" max="6143" width="62.42578125" style="33" customWidth="1"/>
    <col min="6144" max="6144" width="4.28515625" style="33" customWidth="1"/>
    <col min="6145" max="6145" width="5.85546875" style="33" customWidth="1"/>
    <col min="6146" max="6146" width="5.140625" style="33" customWidth="1"/>
    <col min="6147" max="6147" width="6" style="33" customWidth="1"/>
    <col min="6148" max="6149" width="5.28515625" style="33" customWidth="1"/>
    <col min="6150" max="6398" width="9.140625" style="33"/>
    <col min="6399" max="6399" width="62.42578125" style="33" customWidth="1"/>
    <col min="6400" max="6400" width="4.28515625" style="33" customWidth="1"/>
    <col min="6401" max="6401" width="5.85546875" style="33" customWidth="1"/>
    <col min="6402" max="6402" width="5.140625" style="33" customWidth="1"/>
    <col min="6403" max="6403" width="6" style="33" customWidth="1"/>
    <col min="6404" max="6405" width="5.28515625" style="33" customWidth="1"/>
    <col min="6406" max="6654" width="9.140625" style="33"/>
    <col min="6655" max="6655" width="62.42578125" style="33" customWidth="1"/>
    <col min="6656" max="6656" width="4.28515625" style="33" customWidth="1"/>
    <col min="6657" max="6657" width="5.85546875" style="33" customWidth="1"/>
    <col min="6658" max="6658" width="5.140625" style="33" customWidth="1"/>
    <col min="6659" max="6659" width="6" style="33" customWidth="1"/>
    <col min="6660" max="6661" width="5.28515625" style="33" customWidth="1"/>
    <col min="6662" max="6910" width="9.140625" style="33"/>
    <col min="6911" max="6911" width="62.42578125" style="33" customWidth="1"/>
    <col min="6912" max="6912" width="4.28515625" style="33" customWidth="1"/>
    <col min="6913" max="6913" width="5.85546875" style="33" customWidth="1"/>
    <col min="6914" max="6914" width="5.140625" style="33" customWidth="1"/>
    <col min="6915" max="6915" width="6" style="33" customWidth="1"/>
    <col min="6916" max="6917" width="5.28515625" style="33" customWidth="1"/>
    <col min="6918" max="7166" width="9.140625" style="33"/>
    <col min="7167" max="7167" width="62.42578125" style="33" customWidth="1"/>
    <col min="7168" max="7168" width="4.28515625" style="33" customWidth="1"/>
    <col min="7169" max="7169" width="5.85546875" style="33" customWidth="1"/>
    <col min="7170" max="7170" width="5.140625" style="33" customWidth="1"/>
    <col min="7171" max="7171" width="6" style="33" customWidth="1"/>
    <col min="7172" max="7173" width="5.28515625" style="33" customWidth="1"/>
    <col min="7174" max="7422" width="9.140625" style="33"/>
    <col min="7423" max="7423" width="62.42578125" style="33" customWidth="1"/>
    <col min="7424" max="7424" width="4.28515625" style="33" customWidth="1"/>
    <col min="7425" max="7425" width="5.85546875" style="33" customWidth="1"/>
    <col min="7426" max="7426" width="5.140625" style="33" customWidth="1"/>
    <col min="7427" max="7427" width="6" style="33" customWidth="1"/>
    <col min="7428" max="7429" width="5.28515625" style="33" customWidth="1"/>
    <col min="7430" max="7678" width="9.140625" style="33"/>
    <col min="7679" max="7679" width="62.42578125" style="33" customWidth="1"/>
    <col min="7680" max="7680" width="4.28515625" style="33" customWidth="1"/>
    <col min="7681" max="7681" width="5.85546875" style="33" customWidth="1"/>
    <col min="7682" max="7682" width="5.140625" style="33" customWidth="1"/>
    <col min="7683" max="7683" width="6" style="33" customWidth="1"/>
    <col min="7684" max="7685" width="5.28515625" style="33" customWidth="1"/>
    <col min="7686" max="7934" width="9.140625" style="33"/>
    <col min="7935" max="7935" width="62.42578125" style="33" customWidth="1"/>
    <col min="7936" max="7936" width="4.28515625" style="33" customWidth="1"/>
    <col min="7937" max="7937" width="5.85546875" style="33" customWidth="1"/>
    <col min="7938" max="7938" width="5.140625" style="33" customWidth="1"/>
    <col min="7939" max="7939" width="6" style="33" customWidth="1"/>
    <col min="7940" max="7941" width="5.28515625" style="33" customWidth="1"/>
    <col min="7942" max="8190" width="9.140625" style="33"/>
    <col min="8191" max="8191" width="62.42578125" style="33" customWidth="1"/>
    <col min="8192" max="8192" width="4.28515625" style="33" customWidth="1"/>
    <col min="8193" max="8193" width="5.85546875" style="33" customWidth="1"/>
    <col min="8194" max="8194" width="5.140625" style="33" customWidth="1"/>
    <col min="8195" max="8195" width="6" style="33" customWidth="1"/>
    <col min="8196" max="8197" width="5.28515625" style="33" customWidth="1"/>
    <col min="8198" max="8446" width="9.140625" style="33"/>
    <col min="8447" max="8447" width="62.42578125" style="33" customWidth="1"/>
    <col min="8448" max="8448" width="4.28515625" style="33" customWidth="1"/>
    <col min="8449" max="8449" width="5.85546875" style="33" customWidth="1"/>
    <col min="8450" max="8450" width="5.140625" style="33" customWidth="1"/>
    <col min="8451" max="8451" width="6" style="33" customWidth="1"/>
    <col min="8452" max="8453" width="5.28515625" style="33" customWidth="1"/>
    <col min="8454" max="8702" width="9.140625" style="33"/>
    <col min="8703" max="8703" width="62.42578125" style="33" customWidth="1"/>
    <col min="8704" max="8704" width="4.28515625" style="33" customWidth="1"/>
    <col min="8705" max="8705" width="5.85546875" style="33" customWidth="1"/>
    <col min="8706" max="8706" width="5.140625" style="33" customWidth="1"/>
    <col min="8707" max="8707" width="6" style="33" customWidth="1"/>
    <col min="8708" max="8709" width="5.28515625" style="33" customWidth="1"/>
    <col min="8710" max="8958" width="9.140625" style="33"/>
    <col min="8959" max="8959" width="62.42578125" style="33" customWidth="1"/>
    <col min="8960" max="8960" width="4.28515625" style="33" customWidth="1"/>
    <col min="8961" max="8961" width="5.85546875" style="33" customWidth="1"/>
    <col min="8962" max="8962" width="5.140625" style="33" customWidth="1"/>
    <col min="8963" max="8963" width="6" style="33" customWidth="1"/>
    <col min="8964" max="8965" width="5.28515625" style="33" customWidth="1"/>
    <col min="8966" max="9214" width="9.140625" style="33"/>
    <col min="9215" max="9215" width="62.42578125" style="33" customWidth="1"/>
    <col min="9216" max="9216" width="4.28515625" style="33" customWidth="1"/>
    <col min="9217" max="9217" width="5.85546875" style="33" customWidth="1"/>
    <col min="9218" max="9218" width="5.140625" style="33" customWidth="1"/>
    <col min="9219" max="9219" width="6" style="33" customWidth="1"/>
    <col min="9220" max="9221" width="5.28515625" style="33" customWidth="1"/>
    <col min="9222" max="9470" width="9.140625" style="33"/>
    <col min="9471" max="9471" width="62.42578125" style="33" customWidth="1"/>
    <col min="9472" max="9472" width="4.28515625" style="33" customWidth="1"/>
    <col min="9473" max="9473" width="5.85546875" style="33" customWidth="1"/>
    <col min="9474" max="9474" width="5.140625" style="33" customWidth="1"/>
    <col min="9475" max="9475" width="6" style="33" customWidth="1"/>
    <col min="9476" max="9477" width="5.28515625" style="33" customWidth="1"/>
    <col min="9478" max="9726" width="9.140625" style="33"/>
    <col min="9727" max="9727" width="62.42578125" style="33" customWidth="1"/>
    <col min="9728" max="9728" width="4.28515625" style="33" customWidth="1"/>
    <col min="9729" max="9729" width="5.85546875" style="33" customWidth="1"/>
    <col min="9730" max="9730" width="5.140625" style="33" customWidth="1"/>
    <col min="9731" max="9731" width="6" style="33" customWidth="1"/>
    <col min="9732" max="9733" width="5.28515625" style="33" customWidth="1"/>
    <col min="9734" max="9982" width="9.140625" style="33"/>
    <col min="9983" max="9983" width="62.42578125" style="33" customWidth="1"/>
    <col min="9984" max="9984" width="4.28515625" style="33" customWidth="1"/>
    <col min="9985" max="9985" width="5.85546875" style="33" customWidth="1"/>
    <col min="9986" max="9986" width="5.140625" style="33" customWidth="1"/>
    <col min="9987" max="9987" width="6" style="33" customWidth="1"/>
    <col min="9988" max="9989" width="5.28515625" style="33" customWidth="1"/>
    <col min="9990" max="10238" width="9.140625" style="33"/>
    <col min="10239" max="10239" width="62.42578125" style="33" customWidth="1"/>
    <col min="10240" max="10240" width="4.28515625" style="33" customWidth="1"/>
    <col min="10241" max="10241" width="5.85546875" style="33" customWidth="1"/>
    <col min="10242" max="10242" width="5.140625" style="33" customWidth="1"/>
    <col min="10243" max="10243" width="6" style="33" customWidth="1"/>
    <col min="10244" max="10245" width="5.28515625" style="33" customWidth="1"/>
    <col min="10246" max="10494" width="9.140625" style="33"/>
    <col min="10495" max="10495" width="62.42578125" style="33" customWidth="1"/>
    <col min="10496" max="10496" width="4.28515625" style="33" customWidth="1"/>
    <col min="10497" max="10497" width="5.85546875" style="33" customWidth="1"/>
    <col min="10498" max="10498" width="5.140625" style="33" customWidth="1"/>
    <col min="10499" max="10499" width="6" style="33" customWidth="1"/>
    <col min="10500" max="10501" width="5.28515625" style="33" customWidth="1"/>
    <col min="10502" max="10750" width="9.140625" style="33"/>
    <col min="10751" max="10751" width="62.42578125" style="33" customWidth="1"/>
    <col min="10752" max="10752" width="4.28515625" style="33" customWidth="1"/>
    <col min="10753" max="10753" width="5.85546875" style="33" customWidth="1"/>
    <col min="10754" max="10754" width="5.140625" style="33" customWidth="1"/>
    <col min="10755" max="10755" width="6" style="33" customWidth="1"/>
    <col min="10756" max="10757" width="5.28515625" style="33" customWidth="1"/>
    <col min="10758" max="11006" width="9.140625" style="33"/>
    <col min="11007" max="11007" width="62.42578125" style="33" customWidth="1"/>
    <col min="11008" max="11008" width="4.28515625" style="33" customWidth="1"/>
    <col min="11009" max="11009" width="5.85546875" style="33" customWidth="1"/>
    <col min="11010" max="11010" width="5.140625" style="33" customWidth="1"/>
    <col min="11011" max="11011" width="6" style="33" customWidth="1"/>
    <col min="11012" max="11013" width="5.28515625" style="33" customWidth="1"/>
    <col min="11014" max="11262" width="9.140625" style="33"/>
    <col min="11263" max="11263" width="62.42578125" style="33" customWidth="1"/>
    <col min="11264" max="11264" width="4.28515625" style="33" customWidth="1"/>
    <col min="11265" max="11265" width="5.85546875" style="33" customWidth="1"/>
    <col min="11266" max="11266" width="5.140625" style="33" customWidth="1"/>
    <col min="11267" max="11267" width="6" style="33" customWidth="1"/>
    <col min="11268" max="11269" width="5.28515625" style="33" customWidth="1"/>
    <col min="11270" max="11518" width="9.140625" style="33"/>
    <col min="11519" max="11519" width="62.42578125" style="33" customWidth="1"/>
    <col min="11520" max="11520" width="4.28515625" style="33" customWidth="1"/>
    <col min="11521" max="11521" width="5.85546875" style="33" customWidth="1"/>
    <col min="11522" max="11522" width="5.140625" style="33" customWidth="1"/>
    <col min="11523" max="11523" width="6" style="33" customWidth="1"/>
    <col min="11524" max="11525" width="5.28515625" style="33" customWidth="1"/>
    <col min="11526" max="11774" width="9.140625" style="33"/>
    <col min="11775" max="11775" width="62.42578125" style="33" customWidth="1"/>
    <col min="11776" max="11776" width="4.28515625" style="33" customWidth="1"/>
    <col min="11777" max="11777" width="5.85546875" style="33" customWidth="1"/>
    <col min="11778" max="11778" width="5.140625" style="33" customWidth="1"/>
    <col min="11779" max="11779" width="6" style="33" customWidth="1"/>
    <col min="11780" max="11781" width="5.28515625" style="33" customWidth="1"/>
    <col min="11782" max="12030" width="9.140625" style="33"/>
    <col min="12031" max="12031" width="62.42578125" style="33" customWidth="1"/>
    <col min="12032" max="12032" width="4.28515625" style="33" customWidth="1"/>
    <col min="12033" max="12033" width="5.85546875" style="33" customWidth="1"/>
    <col min="12034" max="12034" width="5.140625" style="33" customWidth="1"/>
    <col min="12035" max="12035" width="6" style="33" customWidth="1"/>
    <col min="12036" max="12037" width="5.28515625" style="33" customWidth="1"/>
    <col min="12038" max="12286" width="9.140625" style="33"/>
    <col min="12287" max="12287" width="62.42578125" style="33" customWidth="1"/>
    <col min="12288" max="12288" width="4.28515625" style="33" customWidth="1"/>
    <col min="12289" max="12289" width="5.85546875" style="33" customWidth="1"/>
    <col min="12290" max="12290" width="5.140625" style="33" customWidth="1"/>
    <col min="12291" max="12291" width="6" style="33" customWidth="1"/>
    <col min="12292" max="12293" width="5.28515625" style="33" customWidth="1"/>
    <col min="12294" max="12542" width="9.140625" style="33"/>
    <col min="12543" max="12543" width="62.42578125" style="33" customWidth="1"/>
    <col min="12544" max="12544" width="4.28515625" style="33" customWidth="1"/>
    <col min="12545" max="12545" width="5.85546875" style="33" customWidth="1"/>
    <col min="12546" max="12546" width="5.140625" style="33" customWidth="1"/>
    <col min="12547" max="12547" width="6" style="33" customWidth="1"/>
    <col min="12548" max="12549" width="5.28515625" style="33" customWidth="1"/>
    <col min="12550" max="12798" width="9.140625" style="33"/>
    <col min="12799" max="12799" width="62.42578125" style="33" customWidth="1"/>
    <col min="12800" max="12800" width="4.28515625" style="33" customWidth="1"/>
    <col min="12801" max="12801" width="5.85546875" style="33" customWidth="1"/>
    <col min="12802" max="12802" width="5.140625" style="33" customWidth="1"/>
    <col min="12803" max="12803" width="6" style="33" customWidth="1"/>
    <col min="12804" max="12805" width="5.28515625" style="33" customWidth="1"/>
    <col min="12806" max="13054" width="9.140625" style="33"/>
    <col min="13055" max="13055" width="62.42578125" style="33" customWidth="1"/>
    <col min="13056" max="13056" width="4.28515625" style="33" customWidth="1"/>
    <col min="13057" max="13057" width="5.85546875" style="33" customWidth="1"/>
    <col min="13058" max="13058" width="5.140625" style="33" customWidth="1"/>
    <col min="13059" max="13059" width="6" style="33" customWidth="1"/>
    <col min="13060" max="13061" width="5.28515625" style="33" customWidth="1"/>
    <col min="13062" max="13310" width="9.140625" style="33"/>
    <col min="13311" max="13311" width="62.42578125" style="33" customWidth="1"/>
    <col min="13312" max="13312" width="4.28515625" style="33" customWidth="1"/>
    <col min="13313" max="13313" width="5.85546875" style="33" customWidth="1"/>
    <col min="13314" max="13314" width="5.140625" style="33" customWidth="1"/>
    <col min="13315" max="13315" width="6" style="33" customWidth="1"/>
    <col min="13316" max="13317" width="5.28515625" style="33" customWidth="1"/>
    <col min="13318" max="13566" width="9.140625" style="33"/>
    <col min="13567" max="13567" width="62.42578125" style="33" customWidth="1"/>
    <col min="13568" max="13568" width="4.28515625" style="33" customWidth="1"/>
    <col min="13569" max="13569" width="5.85546875" style="33" customWidth="1"/>
    <col min="13570" max="13570" width="5.140625" style="33" customWidth="1"/>
    <col min="13571" max="13571" width="6" style="33" customWidth="1"/>
    <col min="13572" max="13573" width="5.28515625" style="33" customWidth="1"/>
    <col min="13574" max="13822" width="9.140625" style="33"/>
    <col min="13823" max="13823" width="62.42578125" style="33" customWidth="1"/>
    <col min="13824" max="13824" width="4.28515625" style="33" customWidth="1"/>
    <col min="13825" max="13825" width="5.85546875" style="33" customWidth="1"/>
    <col min="13826" max="13826" width="5.140625" style="33" customWidth="1"/>
    <col min="13827" max="13827" width="6" style="33" customWidth="1"/>
    <col min="13828" max="13829" width="5.28515625" style="33" customWidth="1"/>
    <col min="13830" max="14078" width="9.140625" style="33"/>
    <col min="14079" max="14079" width="62.42578125" style="33" customWidth="1"/>
    <col min="14080" max="14080" width="4.28515625" style="33" customWidth="1"/>
    <col min="14081" max="14081" width="5.85546875" style="33" customWidth="1"/>
    <col min="14082" max="14082" width="5.140625" style="33" customWidth="1"/>
    <col min="14083" max="14083" width="6" style="33" customWidth="1"/>
    <col min="14084" max="14085" width="5.28515625" style="33" customWidth="1"/>
    <col min="14086" max="14334" width="9.140625" style="33"/>
    <col min="14335" max="14335" width="62.42578125" style="33" customWidth="1"/>
    <col min="14336" max="14336" width="4.28515625" style="33" customWidth="1"/>
    <col min="14337" max="14337" width="5.85546875" style="33" customWidth="1"/>
    <col min="14338" max="14338" width="5.140625" style="33" customWidth="1"/>
    <col min="14339" max="14339" width="6" style="33" customWidth="1"/>
    <col min="14340" max="14341" width="5.28515625" style="33" customWidth="1"/>
    <col min="14342" max="14590" width="9.140625" style="33"/>
    <col min="14591" max="14591" width="62.42578125" style="33" customWidth="1"/>
    <col min="14592" max="14592" width="4.28515625" style="33" customWidth="1"/>
    <col min="14593" max="14593" width="5.85546875" style="33" customWidth="1"/>
    <col min="14594" max="14594" width="5.140625" style="33" customWidth="1"/>
    <col min="14595" max="14595" width="6" style="33" customWidth="1"/>
    <col min="14596" max="14597" width="5.28515625" style="33" customWidth="1"/>
    <col min="14598" max="14846" width="9.140625" style="33"/>
    <col min="14847" max="14847" width="62.42578125" style="33" customWidth="1"/>
    <col min="14848" max="14848" width="4.28515625" style="33" customWidth="1"/>
    <col min="14849" max="14849" width="5.85546875" style="33" customWidth="1"/>
    <col min="14850" max="14850" width="5.140625" style="33" customWidth="1"/>
    <col min="14851" max="14851" width="6" style="33" customWidth="1"/>
    <col min="14852" max="14853" width="5.28515625" style="33" customWidth="1"/>
    <col min="14854" max="15102" width="9.140625" style="33"/>
    <col min="15103" max="15103" width="62.42578125" style="33" customWidth="1"/>
    <col min="15104" max="15104" width="4.28515625" style="33" customWidth="1"/>
    <col min="15105" max="15105" width="5.85546875" style="33" customWidth="1"/>
    <col min="15106" max="15106" width="5.140625" style="33" customWidth="1"/>
    <col min="15107" max="15107" width="6" style="33" customWidth="1"/>
    <col min="15108" max="15109" width="5.28515625" style="33" customWidth="1"/>
    <col min="15110" max="15358" width="9.140625" style="33"/>
    <col min="15359" max="15359" width="62.42578125" style="33" customWidth="1"/>
    <col min="15360" max="15360" width="4.28515625" style="33" customWidth="1"/>
    <col min="15361" max="15361" width="5.85546875" style="33" customWidth="1"/>
    <col min="15362" max="15362" width="5.140625" style="33" customWidth="1"/>
    <col min="15363" max="15363" width="6" style="33" customWidth="1"/>
    <col min="15364" max="15365" width="5.28515625" style="33" customWidth="1"/>
    <col min="15366" max="15614" width="9.140625" style="33"/>
    <col min="15615" max="15615" width="62.42578125" style="33" customWidth="1"/>
    <col min="15616" max="15616" width="4.28515625" style="33" customWidth="1"/>
    <col min="15617" max="15617" width="5.85546875" style="33" customWidth="1"/>
    <col min="15618" max="15618" width="5.140625" style="33" customWidth="1"/>
    <col min="15619" max="15619" width="6" style="33" customWidth="1"/>
    <col min="15620" max="15621" width="5.28515625" style="33" customWidth="1"/>
    <col min="15622" max="15870" width="9.140625" style="33"/>
    <col min="15871" max="15871" width="62.42578125" style="33" customWidth="1"/>
    <col min="15872" max="15872" width="4.28515625" style="33" customWidth="1"/>
    <col min="15873" max="15873" width="5.85546875" style="33" customWidth="1"/>
    <col min="15874" max="15874" width="5.140625" style="33" customWidth="1"/>
    <col min="15875" max="15875" width="6" style="33" customWidth="1"/>
    <col min="15876" max="15877" width="5.28515625" style="33" customWidth="1"/>
    <col min="15878" max="16126" width="9.140625" style="33"/>
    <col min="16127" max="16127" width="62.42578125" style="33" customWidth="1"/>
    <col min="16128" max="16128" width="4.28515625" style="33" customWidth="1"/>
    <col min="16129" max="16129" width="5.85546875" style="33" customWidth="1"/>
    <col min="16130" max="16130" width="5.140625" style="33" customWidth="1"/>
    <col min="16131" max="16131" width="6" style="33" customWidth="1"/>
    <col min="16132" max="16133" width="5.28515625" style="33" customWidth="1"/>
    <col min="16134" max="16384" width="9.140625" style="33"/>
  </cols>
  <sheetData>
    <row r="1" spans="2:9">
      <c r="B1" s="43" t="s">
        <v>347</v>
      </c>
    </row>
    <row r="2" spans="2:9">
      <c r="B2" s="43"/>
    </row>
    <row r="3" spans="2:9">
      <c r="B3" s="43" t="s">
        <v>936</v>
      </c>
    </row>
    <row r="4" spans="2:9">
      <c r="B4" s="43"/>
      <c r="D4" s="644">
        <v>2018</v>
      </c>
      <c r="E4" s="644">
        <v>2019</v>
      </c>
      <c r="F4" s="644">
        <v>2020</v>
      </c>
      <c r="G4" s="644">
        <v>2021</v>
      </c>
      <c r="H4" s="644">
        <v>2022</v>
      </c>
      <c r="I4" s="644">
        <v>2023</v>
      </c>
    </row>
    <row r="5" spans="2:9">
      <c r="B5" s="43" t="s">
        <v>1046</v>
      </c>
      <c r="D5" s="71">
        <v>1</v>
      </c>
      <c r="E5" s="71">
        <f>D5*(1+0.075)</f>
        <v>1.075</v>
      </c>
      <c r="F5" s="71">
        <f t="shared" ref="F5:I5" si="0">E5*(1+0.075)</f>
        <v>1.1556249999999999</v>
      </c>
      <c r="G5" s="71">
        <f t="shared" si="0"/>
        <v>1.2422968749999999</v>
      </c>
      <c r="H5" s="71">
        <f t="shared" si="0"/>
        <v>1.3354691406249999</v>
      </c>
      <c r="I5" s="71">
        <f t="shared" si="0"/>
        <v>1.4356293261718749</v>
      </c>
    </row>
    <row r="6" spans="2:9">
      <c r="B6" s="193" t="s">
        <v>1045</v>
      </c>
      <c r="D6" s="71">
        <v>1</v>
      </c>
      <c r="E6" s="71">
        <f>D6*(1+0.05)</f>
        <v>1.05</v>
      </c>
      <c r="F6" s="71">
        <f t="shared" ref="F6:I6" si="1">E6*(1+0.05)</f>
        <v>1.1025</v>
      </c>
      <c r="G6" s="71">
        <f t="shared" si="1"/>
        <v>1.1576250000000001</v>
      </c>
      <c r="H6" s="71">
        <f t="shared" si="1"/>
        <v>1.2155062500000002</v>
      </c>
      <c r="I6" s="71">
        <f t="shared" si="1"/>
        <v>1.2762815625000004</v>
      </c>
    </row>
    <row r="7" spans="2:9">
      <c r="B7" s="43"/>
    </row>
    <row r="8" spans="2:9">
      <c r="B8" s="43" t="s">
        <v>1047</v>
      </c>
    </row>
    <row r="9" spans="2:9">
      <c r="B9" s="43" t="s">
        <v>982</v>
      </c>
    </row>
    <row r="10" spans="2:9">
      <c r="B10" s="43"/>
    </row>
    <row r="11" spans="2:9">
      <c r="B11" s="43" t="s">
        <v>868</v>
      </c>
    </row>
    <row r="12" spans="2:9">
      <c r="B12" s="43"/>
    </row>
    <row r="13" spans="2:9">
      <c r="B13" s="43" t="s">
        <v>348</v>
      </c>
    </row>
    <row r="14" spans="2:9">
      <c r="B14" s="63" t="s">
        <v>980</v>
      </c>
    </row>
    <row r="15" spans="2:9">
      <c r="B15" s="63" t="s">
        <v>981</v>
      </c>
    </row>
    <row r="16" spans="2:9" ht="26.25">
      <c r="B16" s="63" t="s">
        <v>1050</v>
      </c>
    </row>
    <row r="17" spans="2:2">
      <c r="B17" s="63" t="s">
        <v>1049</v>
      </c>
    </row>
    <row r="18" spans="2:2" ht="27" customHeight="1">
      <c r="B18" s="63" t="s">
        <v>1029</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M647"/>
  <sheetViews>
    <sheetView zoomScale="80" zoomScaleNormal="80" workbookViewId="0">
      <pane ySplit="6" topLeftCell="A64" activePane="bottomLeft" state="frozen"/>
      <selection activeCell="B1" sqref="B1"/>
      <selection pane="bottomLeft" activeCell="J58" sqref="J58"/>
    </sheetView>
  </sheetViews>
  <sheetFormatPr defaultColWidth="9.140625" defaultRowHeight="15"/>
  <cols>
    <col min="1" max="1" width="3.7109375" style="35" customWidth="1"/>
    <col min="2" max="2" width="10.85546875" style="21" customWidth="1"/>
    <col min="3" max="3" width="49.28515625" style="12" customWidth="1"/>
    <col min="4" max="4" width="20" style="12" customWidth="1"/>
    <col min="5" max="5" width="9.7109375" style="11" customWidth="1"/>
    <col min="6" max="6" width="10.140625" style="4" customWidth="1"/>
    <col min="7" max="7" width="10.7109375" style="4" customWidth="1"/>
    <col min="8" max="10" width="10.5703125" style="4" customWidth="1"/>
    <col min="11" max="11" width="33.28515625" style="30" customWidth="1"/>
    <col min="12" max="12" width="9.140625" style="8"/>
    <col min="13" max="13" width="13.5703125" style="8" bestFit="1" customWidth="1"/>
    <col min="14" max="16384" width="9.140625" style="8"/>
  </cols>
  <sheetData>
    <row r="1" spans="1:13">
      <c r="B1" s="14"/>
      <c r="C1" s="22"/>
      <c r="D1" s="7"/>
      <c r="E1" s="5"/>
      <c r="F1" s="13"/>
      <c r="G1" s="13"/>
      <c r="H1" s="13"/>
      <c r="I1" s="13"/>
      <c r="J1" s="13"/>
      <c r="K1" s="28"/>
    </row>
    <row r="2" spans="1:13" s="2" customFormat="1" ht="25.9" customHeight="1">
      <c r="A2" s="34"/>
      <c r="B2" s="691" t="s">
        <v>1158</v>
      </c>
      <c r="C2" s="692"/>
      <c r="D2" s="692"/>
      <c r="E2" s="692"/>
      <c r="F2" s="692"/>
      <c r="G2" s="692"/>
      <c r="H2" s="692"/>
      <c r="I2" s="692"/>
      <c r="J2" s="692"/>
      <c r="K2" s="692"/>
    </row>
    <row r="3" spans="1:13" s="2" customFormat="1">
      <c r="A3" s="34"/>
      <c r="B3" s="20"/>
      <c r="C3" s="10"/>
      <c r="D3" s="10"/>
      <c r="E3" s="6"/>
      <c r="F3" s="3"/>
      <c r="G3" s="3"/>
      <c r="H3" s="3"/>
      <c r="I3" s="3"/>
      <c r="J3" s="3"/>
      <c r="K3" s="29"/>
    </row>
    <row r="4" spans="1:13" s="2" customFormat="1" ht="37.15" customHeight="1">
      <c r="A4" s="34"/>
      <c r="B4" s="693" t="str">
        <f>'Costed Impl plan'!B6:S6</f>
        <v>Programme objective 1: To implement services to prevent new HIV infections by increasing program coverage and case detection</v>
      </c>
      <c r="C4" s="693"/>
      <c r="D4" s="693"/>
      <c r="E4" s="693"/>
      <c r="F4" s="693"/>
      <c r="G4" s="693"/>
      <c r="H4" s="693"/>
      <c r="I4" s="693"/>
      <c r="J4" s="693"/>
      <c r="K4" s="693"/>
    </row>
    <row r="5" spans="1:13" ht="15" customHeight="1">
      <c r="B5" s="686" t="s">
        <v>0</v>
      </c>
      <c r="C5" s="686" t="s">
        <v>1</v>
      </c>
      <c r="D5" s="686" t="s">
        <v>2</v>
      </c>
      <c r="E5" s="688"/>
      <c r="F5" s="689"/>
      <c r="G5" s="689"/>
      <c r="H5" s="689"/>
      <c r="I5" s="689"/>
      <c r="J5" s="690"/>
      <c r="K5" s="686" t="s">
        <v>236</v>
      </c>
    </row>
    <row r="6" spans="1:13" ht="39.75" customHeight="1">
      <c r="B6" s="687"/>
      <c r="C6" s="687"/>
      <c r="D6" s="687"/>
      <c r="E6" s="25">
        <v>2018</v>
      </c>
      <c r="F6" s="25">
        <v>2019</v>
      </c>
      <c r="G6" s="25">
        <v>2020</v>
      </c>
      <c r="H6" s="25">
        <v>2021</v>
      </c>
      <c r="I6" s="25">
        <v>2022</v>
      </c>
      <c r="J6" s="25">
        <v>2023</v>
      </c>
      <c r="K6" s="687"/>
    </row>
    <row r="7" spans="1:13" ht="28.5" customHeight="1">
      <c r="B7" s="694" t="str">
        <f>'Costed Impl plan'!B11:S11</f>
        <v>Strategy 1.1: HIV case detection increased and HIV and STI transmission minimized and risk behaviour reduced among key populations through comprehensive targeted interventions and service provision</v>
      </c>
      <c r="C7" s="694"/>
      <c r="D7" s="694"/>
      <c r="E7" s="694"/>
      <c r="F7" s="694"/>
      <c r="G7" s="694"/>
      <c r="H7" s="694"/>
      <c r="I7" s="694"/>
      <c r="J7" s="694"/>
      <c r="K7" s="694"/>
    </row>
    <row r="8" spans="1:13" ht="34.5" customHeight="1">
      <c r="B8" s="701" t="s">
        <v>3</v>
      </c>
      <c r="C8" s="681" t="str">
        <f>'Costed Impl plan'!$C$12</f>
        <v>Provide basic HIV prevention services for key populations  (BCC, condom/lubricants and NSE for PWID)</v>
      </c>
      <c r="D8" s="245" t="s">
        <v>298</v>
      </c>
      <c r="E8" s="480">
        <f t="shared" ref="E8:H8" si="0">E9+E10+E11</f>
        <v>66469</v>
      </c>
      <c r="F8" s="480">
        <f t="shared" si="0"/>
        <v>66469</v>
      </c>
      <c r="G8" s="480">
        <f t="shared" si="0"/>
        <v>66469</v>
      </c>
      <c r="H8" s="480">
        <f t="shared" si="0"/>
        <v>66469</v>
      </c>
      <c r="I8" s="480">
        <f t="shared" ref="I8" si="1">I9+I10+I11</f>
        <v>66469</v>
      </c>
      <c r="J8" s="480">
        <f t="shared" ref="J8" si="2">J9+J10+J11</f>
        <v>66469</v>
      </c>
      <c r="K8" s="245" t="s">
        <v>983</v>
      </c>
      <c r="M8" s="35"/>
    </row>
    <row r="9" spans="1:13" s="35" customFormat="1" ht="34.5" customHeight="1">
      <c r="B9" s="702"/>
      <c r="C9" s="682"/>
      <c r="D9" s="245" t="s">
        <v>346</v>
      </c>
      <c r="E9" s="480">
        <f>ROUND(3856*65%, 0)</f>
        <v>2506</v>
      </c>
      <c r="F9" s="480">
        <f t="shared" ref="F9:J9" si="3">ROUND(3856*65%, 0)</f>
        <v>2506</v>
      </c>
      <c r="G9" s="480">
        <f t="shared" si="3"/>
        <v>2506</v>
      </c>
      <c r="H9" s="480">
        <f t="shared" si="3"/>
        <v>2506</v>
      </c>
      <c r="I9" s="480">
        <f t="shared" si="3"/>
        <v>2506</v>
      </c>
      <c r="J9" s="480">
        <f t="shared" si="3"/>
        <v>2506</v>
      </c>
      <c r="K9" s="245"/>
    </row>
    <row r="10" spans="1:13" s="35" customFormat="1" ht="34.5" customHeight="1">
      <c r="B10" s="702"/>
      <c r="C10" s="682"/>
      <c r="D10" s="245" t="s">
        <v>349</v>
      </c>
      <c r="E10" s="480">
        <f>ROUND(41350*65%, 0)</f>
        <v>26878</v>
      </c>
      <c r="F10" s="480">
        <f t="shared" ref="F10:J10" si="4">ROUND(41350*65%, 0)</f>
        <v>26878</v>
      </c>
      <c r="G10" s="480">
        <f t="shared" si="4"/>
        <v>26878</v>
      </c>
      <c r="H10" s="480">
        <f t="shared" si="4"/>
        <v>26878</v>
      </c>
      <c r="I10" s="480">
        <f t="shared" si="4"/>
        <v>26878</v>
      </c>
      <c r="J10" s="480">
        <f t="shared" si="4"/>
        <v>26878</v>
      </c>
      <c r="K10" s="245"/>
    </row>
    <row r="11" spans="1:13" s="35" customFormat="1" ht="34.5" customHeight="1">
      <c r="B11" s="702"/>
      <c r="C11" s="682"/>
      <c r="D11" s="245" t="s">
        <v>350</v>
      </c>
      <c r="E11" s="480">
        <f>ROUND(57054*65%, 0)</f>
        <v>37085</v>
      </c>
      <c r="F11" s="480">
        <f t="shared" ref="F11:J11" si="5">ROUND(57054*65%, 0)</f>
        <v>37085</v>
      </c>
      <c r="G11" s="480">
        <f t="shared" si="5"/>
        <v>37085</v>
      </c>
      <c r="H11" s="480">
        <f t="shared" si="5"/>
        <v>37085</v>
      </c>
      <c r="I11" s="480">
        <f t="shared" si="5"/>
        <v>37085</v>
      </c>
      <c r="J11" s="480">
        <f t="shared" si="5"/>
        <v>37085</v>
      </c>
      <c r="K11" s="245"/>
    </row>
    <row r="12" spans="1:13" ht="34.5" customHeight="1">
      <c r="B12" s="702"/>
      <c r="C12" s="682"/>
      <c r="D12" s="245" t="s">
        <v>299</v>
      </c>
      <c r="E12" s="480">
        <f>ROUND(29777*65%, 0)</f>
        <v>19355</v>
      </c>
      <c r="F12" s="480">
        <f t="shared" ref="F12:J12" si="6">ROUND(29777*65%, 0)</f>
        <v>19355</v>
      </c>
      <c r="G12" s="480">
        <f t="shared" si="6"/>
        <v>19355</v>
      </c>
      <c r="H12" s="480">
        <f t="shared" si="6"/>
        <v>19355</v>
      </c>
      <c r="I12" s="480">
        <f t="shared" si="6"/>
        <v>19355</v>
      </c>
      <c r="J12" s="480">
        <f t="shared" si="6"/>
        <v>19355</v>
      </c>
      <c r="K12" s="245" t="s">
        <v>988</v>
      </c>
    </row>
    <row r="13" spans="1:13" ht="34.5" customHeight="1">
      <c r="B13" s="702"/>
      <c r="C13" s="682"/>
      <c r="D13" s="245" t="s">
        <v>300</v>
      </c>
      <c r="E13" s="480">
        <f>ROUND(10199*75%, 0)</f>
        <v>7649</v>
      </c>
      <c r="F13" s="480">
        <f t="shared" ref="F13:J13" si="7">ROUND(10199*75%, 0)</f>
        <v>7649</v>
      </c>
      <c r="G13" s="480">
        <f t="shared" si="7"/>
        <v>7649</v>
      </c>
      <c r="H13" s="480">
        <f t="shared" si="7"/>
        <v>7649</v>
      </c>
      <c r="I13" s="480">
        <f t="shared" si="7"/>
        <v>7649</v>
      </c>
      <c r="J13" s="480">
        <f t="shared" si="7"/>
        <v>7649</v>
      </c>
      <c r="K13" s="245" t="s">
        <v>987</v>
      </c>
    </row>
    <row r="14" spans="1:13" ht="34.5" customHeight="1">
      <c r="B14" s="702"/>
      <c r="C14" s="682"/>
      <c r="D14" s="245" t="s">
        <v>301</v>
      </c>
      <c r="E14" s="480">
        <f>ROUND(101695*35%, 0)</f>
        <v>35593</v>
      </c>
      <c r="F14" s="480">
        <f t="shared" ref="F14:J14" si="8">ROUND(101695*35%, 0)</f>
        <v>35593</v>
      </c>
      <c r="G14" s="480">
        <f t="shared" si="8"/>
        <v>35593</v>
      </c>
      <c r="H14" s="480">
        <f t="shared" si="8"/>
        <v>35593</v>
      </c>
      <c r="I14" s="480">
        <f t="shared" si="8"/>
        <v>35593</v>
      </c>
      <c r="J14" s="480">
        <f t="shared" si="8"/>
        <v>35593</v>
      </c>
      <c r="K14" s="245" t="s">
        <v>986</v>
      </c>
    </row>
    <row r="15" spans="1:13" ht="34.5" customHeight="1">
      <c r="B15" s="702"/>
      <c r="C15" s="682"/>
      <c r="D15" s="245" t="s">
        <v>302</v>
      </c>
      <c r="E15" s="480">
        <f>ROUND(32021*75%, 0)</f>
        <v>24016</v>
      </c>
      <c r="F15" s="480">
        <f t="shared" ref="F15:J15" si="9">ROUND(32021*75%, 0)</f>
        <v>24016</v>
      </c>
      <c r="G15" s="480">
        <f t="shared" si="9"/>
        <v>24016</v>
      </c>
      <c r="H15" s="480">
        <f t="shared" si="9"/>
        <v>24016</v>
      </c>
      <c r="I15" s="480">
        <f t="shared" si="9"/>
        <v>24016</v>
      </c>
      <c r="J15" s="480">
        <f t="shared" si="9"/>
        <v>24016</v>
      </c>
      <c r="K15" s="245" t="s">
        <v>985</v>
      </c>
    </row>
    <row r="16" spans="1:13" ht="34.5" customHeight="1">
      <c r="B16" s="702"/>
      <c r="C16" s="682"/>
      <c r="D16" s="245" t="s">
        <v>303</v>
      </c>
      <c r="E16" s="480">
        <f>ROUND(1045*65%, 0)</f>
        <v>679</v>
      </c>
      <c r="F16" s="480">
        <f t="shared" ref="F16:J16" si="10">ROUND(1045*65%, 0)</f>
        <v>679</v>
      </c>
      <c r="G16" s="480">
        <f t="shared" si="10"/>
        <v>679</v>
      </c>
      <c r="H16" s="480">
        <f t="shared" si="10"/>
        <v>679</v>
      </c>
      <c r="I16" s="480">
        <f t="shared" si="10"/>
        <v>679</v>
      </c>
      <c r="J16" s="480">
        <f t="shared" si="10"/>
        <v>679</v>
      </c>
      <c r="K16" s="245" t="s">
        <v>984</v>
      </c>
    </row>
    <row r="17" spans="1:13" s="24" customFormat="1" ht="47.25" customHeight="1">
      <c r="A17" s="35"/>
      <c r="B17" s="702"/>
      <c r="C17" s="682"/>
      <c r="D17" s="245" t="s">
        <v>338</v>
      </c>
      <c r="E17" s="351">
        <f t="shared" ref="E17:J17" si="11">(E15+E16)*45*12</f>
        <v>13335300</v>
      </c>
      <c r="F17" s="351">
        <f t="shared" si="11"/>
        <v>13335300</v>
      </c>
      <c r="G17" s="351">
        <f t="shared" si="11"/>
        <v>13335300</v>
      </c>
      <c r="H17" s="351">
        <f t="shared" si="11"/>
        <v>13335300</v>
      </c>
      <c r="I17" s="351">
        <f t="shared" si="11"/>
        <v>13335300</v>
      </c>
      <c r="J17" s="351">
        <f t="shared" si="11"/>
        <v>13335300</v>
      </c>
      <c r="K17" s="337"/>
      <c r="M17" s="487"/>
    </row>
    <row r="18" spans="1:13" s="24" customFormat="1" ht="47.25" customHeight="1">
      <c r="A18" s="35"/>
      <c r="B18" s="703"/>
      <c r="C18" s="683"/>
      <c r="D18" s="245" t="s">
        <v>339</v>
      </c>
      <c r="E18" s="351">
        <v>80000000</v>
      </c>
      <c r="F18" s="351">
        <v>80000000</v>
      </c>
      <c r="G18" s="351">
        <v>80000000</v>
      </c>
      <c r="H18" s="351">
        <v>80000000</v>
      </c>
      <c r="I18" s="351">
        <v>80000000</v>
      </c>
      <c r="J18" s="351">
        <v>80000000</v>
      </c>
      <c r="K18" s="338"/>
    </row>
    <row r="19" spans="1:13" ht="47.25" customHeight="1">
      <c r="B19" s="698" t="s">
        <v>5</v>
      </c>
      <c r="C19" s="695" t="str">
        <f>'Costed Impl plan'!$C$24</f>
        <v>Provide HTC services for key populations</v>
      </c>
      <c r="D19" s="245" t="s">
        <v>298</v>
      </c>
      <c r="E19" s="488">
        <f>E8</f>
        <v>66469</v>
      </c>
      <c r="F19" s="488">
        <f t="shared" ref="F19:I19" si="12">F8</f>
        <v>66469</v>
      </c>
      <c r="G19" s="488">
        <f t="shared" si="12"/>
        <v>66469</v>
      </c>
      <c r="H19" s="488">
        <f t="shared" si="12"/>
        <v>66469</v>
      </c>
      <c r="I19" s="488">
        <f t="shared" si="12"/>
        <v>66469</v>
      </c>
      <c r="J19" s="488">
        <f t="shared" ref="J19" si="13">J8</f>
        <v>66469</v>
      </c>
      <c r="K19" s="475" t="s">
        <v>983</v>
      </c>
    </row>
    <row r="20" spans="1:13" ht="47.25" customHeight="1">
      <c r="B20" s="699"/>
      <c r="C20" s="697"/>
      <c r="D20" s="245" t="s">
        <v>299</v>
      </c>
      <c r="E20" s="488">
        <f>E12</f>
        <v>19355</v>
      </c>
      <c r="F20" s="488">
        <f t="shared" ref="F20:I20" si="14">F12</f>
        <v>19355</v>
      </c>
      <c r="G20" s="488">
        <f t="shared" si="14"/>
        <v>19355</v>
      </c>
      <c r="H20" s="488">
        <f t="shared" si="14"/>
        <v>19355</v>
      </c>
      <c r="I20" s="488">
        <f t="shared" si="14"/>
        <v>19355</v>
      </c>
      <c r="J20" s="488">
        <f t="shared" ref="J20" si="15">J12</f>
        <v>19355</v>
      </c>
      <c r="K20" s="475" t="s">
        <v>988</v>
      </c>
    </row>
    <row r="21" spans="1:13" ht="47.25" customHeight="1">
      <c r="B21" s="699"/>
      <c r="C21" s="697"/>
      <c r="D21" s="245" t="s">
        <v>300</v>
      </c>
      <c r="E21" s="488">
        <f t="shared" ref="E21:I21" si="16">E13</f>
        <v>7649</v>
      </c>
      <c r="F21" s="488">
        <f t="shared" si="16"/>
        <v>7649</v>
      </c>
      <c r="G21" s="488">
        <f t="shared" si="16"/>
        <v>7649</v>
      </c>
      <c r="H21" s="488">
        <f t="shared" si="16"/>
        <v>7649</v>
      </c>
      <c r="I21" s="488">
        <f t="shared" si="16"/>
        <v>7649</v>
      </c>
      <c r="J21" s="488">
        <f t="shared" ref="J21" si="17">J13</f>
        <v>7649</v>
      </c>
      <c r="K21" s="475" t="s">
        <v>987</v>
      </c>
    </row>
    <row r="22" spans="1:13" ht="47.25" customHeight="1">
      <c r="B22" s="699"/>
      <c r="C22" s="697"/>
      <c r="D22" s="245" t="s">
        <v>301</v>
      </c>
      <c r="E22" s="488">
        <f t="shared" ref="E22:I22" si="18">E14</f>
        <v>35593</v>
      </c>
      <c r="F22" s="488">
        <f t="shared" si="18"/>
        <v>35593</v>
      </c>
      <c r="G22" s="488">
        <f t="shared" si="18"/>
        <v>35593</v>
      </c>
      <c r="H22" s="488">
        <f t="shared" si="18"/>
        <v>35593</v>
      </c>
      <c r="I22" s="488">
        <f t="shared" si="18"/>
        <v>35593</v>
      </c>
      <c r="J22" s="488">
        <f t="shared" ref="J22" si="19">J14</f>
        <v>35593</v>
      </c>
      <c r="K22" s="475" t="s">
        <v>986</v>
      </c>
    </row>
    <row r="23" spans="1:13" ht="47.25" customHeight="1">
      <c r="B23" s="699"/>
      <c r="C23" s="697"/>
      <c r="D23" s="245" t="s">
        <v>302</v>
      </c>
      <c r="E23" s="488">
        <f t="shared" ref="E23:I23" si="20">E15</f>
        <v>24016</v>
      </c>
      <c r="F23" s="488">
        <f t="shared" si="20"/>
        <v>24016</v>
      </c>
      <c r="G23" s="488">
        <f t="shared" si="20"/>
        <v>24016</v>
      </c>
      <c r="H23" s="488">
        <f t="shared" si="20"/>
        <v>24016</v>
      </c>
      <c r="I23" s="488">
        <f t="shared" si="20"/>
        <v>24016</v>
      </c>
      <c r="J23" s="488">
        <f t="shared" ref="J23" si="21">J15</f>
        <v>24016</v>
      </c>
      <c r="K23" s="475" t="s">
        <v>985</v>
      </c>
    </row>
    <row r="24" spans="1:13" ht="47.25" customHeight="1">
      <c r="B24" s="700"/>
      <c r="C24" s="696"/>
      <c r="D24" s="245" t="s">
        <v>303</v>
      </c>
      <c r="E24" s="488">
        <f t="shared" ref="E24:I24" si="22">E16</f>
        <v>679</v>
      </c>
      <c r="F24" s="488">
        <f t="shared" si="22"/>
        <v>679</v>
      </c>
      <c r="G24" s="488">
        <f t="shared" si="22"/>
        <v>679</v>
      </c>
      <c r="H24" s="488">
        <f t="shared" si="22"/>
        <v>679</v>
      </c>
      <c r="I24" s="488">
        <f t="shared" si="22"/>
        <v>679</v>
      </c>
      <c r="J24" s="488">
        <f t="shared" ref="J24" si="23">J16</f>
        <v>679</v>
      </c>
      <c r="K24" s="475" t="s">
        <v>984</v>
      </c>
    </row>
    <row r="25" spans="1:13" ht="39.75" customHeight="1">
      <c r="B25" s="698" t="s">
        <v>6</v>
      </c>
      <c r="C25" s="695" t="str">
        <f>'Costed Impl plan'!$C$31</f>
        <v>Provide OST services for people who inject drugs</v>
      </c>
      <c r="D25" s="245" t="s">
        <v>302</v>
      </c>
      <c r="E25" s="489">
        <f>ROUND(32021*8%, 0)</f>
        <v>2562</v>
      </c>
      <c r="F25" s="489">
        <f t="shared" ref="F25:J25" si="24">ROUND(32021*8%, 0)</f>
        <v>2562</v>
      </c>
      <c r="G25" s="489">
        <f t="shared" si="24"/>
        <v>2562</v>
      </c>
      <c r="H25" s="489">
        <f t="shared" si="24"/>
        <v>2562</v>
      </c>
      <c r="I25" s="489">
        <f t="shared" si="24"/>
        <v>2562</v>
      </c>
      <c r="J25" s="489">
        <f t="shared" si="24"/>
        <v>2562</v>
      </c>
      <c r="K25" s="684" t="s">
        <v>989</v>
      </c>
    </row>
    <row r="26" spans="1:13" ht="33" customHeight="1">
      <c r="B26" s="700"/>
      <c r="C26" s="696"/>
      <c r="D26" s="245" t="s">
        <v>303</v>
      </c>
      <c r="E26" s="489">
        <f>ROUND(1045*8%, 0)</f>
        <v>84</v>
      </c>
      <c r="F26" s="489">
        <f t="shared" ref="F26:J26" si="25">ROUND(1045*8%, 0)</f>
        <v>84</v>
      </c>
      <c r="G26" s="489">
        <f t="shared" si="25"/>
        <v>84</v>
      </c>
      <c r="H26" s="489">
        <f t="shared" si="25"/>
        <v>84</v>
      </c>
      <c r="I26" s="489">
        <f t="shared" si="25"/>
        <v>84</v>
      </c>
      <c r="J26" s="489">
        <f t="shared" si="25"/>
        <v>84</v>
      </c>
      <c r="K26" s="684"/>
    </row>
    <row r="27" spans="1:13" s="35" customFormat="1" ht="33" customHeight="1">
      <c r="B27" s="485" t="s">
        <v>997</v>
      </c>
      <c r="C27" s="484" t="str">
        <f>'Costed Impl plan'!$C$34</f>
        <v>Pilot Pre-exposure prophylaxis (PrEP) among KPs</v>
      </c>
      <c r="D27" s="482" t="s">
        <v>999</v>
      </c>
      <c r="E27" s="489">
        <v>100</v>
      </c>
      <c r="F27" s="489">
        <v>100</v>
      </c>
      <c r="G27" s="489">
        <v>100</v>
      </c>
      <c r="H27" s="489">
        <v>100</v>
      </c>
      <c r="I27" s="489">
        <v>100</v>
      </c>
      <c r="J27" s="489">
        <v>100</v>
      </c>
      <c r="K27" s="482"/>
    </row>
    <row r="28" spans="1:13" ht="15.75" customHeight="1">
      <c r="B28" s="694" t="str">
        <f>'Costed Impl plan'!B36:S36</f>
        <v>Strategy 1.2: Increased case detection and reduction of risk behaviours and provision of services for emerging risk populations and vulnerable groups</v>
      </c>
      <c r="C28" s="694"/>
      <c r="D28" s="694"/>
      <c r="E28" s="694"/>
      <c r="F28" s="694"/>
      <c r="G28" s="694"/>
      <c r="H28" s="694"/>
      <c r="I28" s="694"/>
      <c r="J28" s="694"/>
      <c r="K28" s="694"/>
    </row>
    <row r="29" spans="1:13" ht="39" customHeight="1">
      <c r="B29" s="15" t="s">
        <v>7</v>
      </c>
      <c r="C29" s="245" t="str">
        <f>'Costed Impl plan'!C37</f>
        <v>Initiate HIV prevention service provision for international migrants</v>
      </c>
      <c r="D29" s="26"/>
      <c r="E29" s="16"/>
      <c r="F29" s="16"/>
      <c r="G29" s="65"/>
      <c r="H29" s="16"/>
      <c r="I29" s="16"/>
      <c r="J29" s="16"/>
      <c r="K29" s="339"/>
    </row>
    <row r="30" spans="1:13" ht="71.45" customHeight="1">
      <c r="B30" s="23" t="s">
        <v>8</v>
      </c>
      <c r="C30" s="245" t="str">
        <f>'Costed Impl plan'!C38</f>
        <v xml:space="preserve">Conduct national situation assessment to find out migration prone districts and related information </v>
      </c>
      <c r="D30" s="26" t="s">
        <v>247</v>
      </c>
      <c r="E30" s="37">
        <v>1</v>
      </c>
      <c r="F30" s="37"/>
      <c r="G30" s="65"/>
      <c r="H30" s="37"/>
      <c r="I30" s="37"/>
      <c r="J30" s="647"/>
      <c r="K30" s="245" t="s">
        <v>990</v>
      </c>
    </row>
    <row r="31" spans="1:13" ht="28.5" customHeight="1">
      <c r="B31" s="23" t="s">
        <v>11</v>
      </c>
      <c r="C31" s="245" t="str">
        <f>'Costed Impl plan'!C39</f>
        <v>BCC material development (leaflets, posters, brochures etc.)</v>
      </c>
      <c r="D31" s="26" t="s">
        <v>12</v>
      </c>
      <c r="E31" s="17">
        <v>200000</v>
      </c>
      <c r="F31" s="17">
        <v>200000</v>
      </c>
      <c r="G31" s="65">
        <v>200000</v>
      </c>
      <c r="H31" s="17">
        <v>200000</v>
      </c>
      <c r="I31" s="17">
        <v>200000</v>
      </c>
      <c r="J31" s="17">
        <v>200000</v>
      </c>
      <c r="K31" s="245"/>
    </row>
    <row r="32" spans="1:13" ht="31.5" customHeight="1">
      <c r="B32" s="23" t="s">
        <v>13</v>
      </c>
      <c r="C32" s="245" t="str">
        <f>'Costed Impl plan'!C40</f>
        <v>Pre-departure orientation of migrants</v>
      </c>
      <c r="D32" s="245" t="s">
        <v>244</v>
      </c>
      <c r="E32" s="17">
        <v>200000</v>
      </c>
      <c r="F32" s="17">
        <v>200000</v>
      </c>
      <c r="G32" s="65">
        <v>200000</v>
      </c>
      <c r="H32" s="17">
        <v>200000</v>
      </c>
      <c r="I32" s="17">
        <v>200000</v>
      </c>
      <c r="J32" s="17">
        <v>200000</v>
      </c>
      <c r="K32" s="245" t="s">
        <v>307</v>
      </c>
    </row>
    <row r="33" spans="1:11" ht="31.5" customHeight="1">
      <c r="B33" s="23" t="s">
        <v>15</v>
      </c>
      <c r="C33" s="245" t="str">
        <f>'Costed Impl plan'!C41</f>
        <v>Pilot community based interventions for migrants and their families</v>
      </c>
      <c r="D33" s="245" t="s">
        <v>244</v>
      </c>
      <c r="E33" s="17">
        <v>30000</v>
      </c>
      <c r="F33" s="17">
        <v>30000</v>
      </c>
      <c r="G33" s="17">
        <v>30000</v>
      </c>
      <c r="H33" s="17">
        <v>30000</v>
      </c>
      <c r="I33" s="17">
        <v>30000</v>
      </c>
      <c r="J33" s="17">
        <v>30000</v>
      </c>
      <c r="K33" s="245"/>
    </row>
    <row r="34" spans="1:11" ht="25.5">
      <c r="B34" s="15" t="s">
        <v>16</v>
      </c>
      <c r="C34" s="245" t="str">
        <f>'Costed Impl plan'!C42</f>
        <v>Develop and implement interventions for emerging risk and higher vulnerable population</v>
      </c>
      <c r="D34" s="37"/>
      <c r="E34" s="37"/>
      <c r="F34" s="37"/>
      <c r="G34" s="65"/>
      <c r="H34" s="37"/>
      <c r="I34" s="37"/>
      <c r="J34" s="647"/>
      <c r="K34" s="339"/>
    </row>
    <row r="35" spans="1:11" ht="30" customHeight="1">
      <c r="B35" s="23" t="s">
        <v>237</v>
      </c>
      <c r="C35" s="245" t="str">
        <f>'Costed Impl plan'!C43</f>
        <v>Conduct national vulnerability mapping study</v>
      </c>
      <c r="D35" s="37" t="s">
        <v>245</v>
      </c>
      <c r="E35" s="37">
        <v>1</v>
      </c>
      <c r="G35" s="65"/>
      <c r="H35" s="37"/>
      <c r="I35" s="37"/>
      <c r="J35" s="647"/>
      <c r="K35" s="684" t="s">
        <v>273</v>
      </c>
    </row>
    <row r="36" spans="1:11" ht="31.5" customHeight="1">
      <c r="B36" s="23" t="s">
        <v>238</v>
      </c>
      <c r="C36" s="245" t="str">
        <f>'Costed Impl plan'!C44</f>
        <v>Conduct study on identifed emerging risk and higher vulnerable population</v>
      </c>
      <c r="D36" s="37" t="s">
        <v>245</v>
      </c>
      <c r="E36" s="37">
        <v>1</v>
      </c>
      <c r="F36" s="37"/>
      <c r="G36" s="65"/>
      <c r="H36" s="37"/>
      <c r="I36" s="37"/>
      <c r="J36" s="647"/>
      <c r="K36" s="684"/>
    </row>
    <row r="37" spans="1:11" ht="25.5" customHeight="1">
      <c r="B37" s="23" t="s">
        <v>239</v>
      </c>
      <c r="C37" s="245" t="str">
        <f>'Costed Impl plan'!C45</f>
        <v xml:space="preserve">Interventions for vulnerable populations  </v>
      </c>
      <c r="D37" s="37" t="s">
        <v>246</v>
      </c>
      <c r="E37" s="37">
        <v>1</v>
      </c>
      <c r="F37" s="65"/>
      <c r="G37" s="65"/>
      <c r="H37" s="37"/>
      <c r="I37" s="37"/>
      <c r="J37" s="647"/>
      <c r="K37" s="684"/>
    </row>
    <row r="38" spans="1:11" s="35" customFormat="1" ht="27.75" customHeight="1">
      <c r="B38" s="23" t="s">
        <v>943</v>
      </c>
      <c r="C38" s="366" t="str">
        <f>'Costed Impl plan'!C46</f>
        <v>Update/ develop of training material on LSE for Vulnerable Young People</v>
      </c>
      <c r="D38" s="37" t="s">
        <v>957</v>
      </c>
      <c r="E38" s="37">
        <v>1</v>
      </c>
      <c r="F38" s="65"/>
      <c r="G38" s="65"/>
      <c r="H38" s="37"/>
      <c r="I38" s="37"/>
      <c r="J38" s="647"/>
      <c r="K38" s="366"/>
    </row>
    <row r="39" spans="1:11" s="155" customFormat="1" ht="25.5" customHeight="1">
      <c r="B39" s="23" t="s">
        <v>944</v>
      </c>
      <c r="C39" s="370" t="str">
        <f>'Costed Impl plan'!C47</f>
        <v xml:space="preserve">Training of master trainers and peer educators </v>
      </c>
      <c r="D39" s="37" t="s">
        <v>952</v>
      </c>
      <c r="E39" s="37">
        <v>23</v>
      </c>
      <c r="F39" s="37">
        <v>23</v>
      </c>
      <c r="G39" s="37">
        <v>23</v>
      </c>
      <c r="H39" s="37">
        <v>23</v>
      </c>
      <c r="I39" s="37">
        <v>23</v>
      </c>
      <c r="J39" s="652">
        <v>23</v>
      </c>
      <c r="K39" s="370"/>
    </row>
    <row r="40" spans="1:11" s="35" customFormat="1" ht="25.5" customHeight="1">
      <c r="B40" s="23" t="s">
        <v>945</v>
      </c>
      <c r="C40" s="371" t="str">
        <f>'Costed Impl plan'!C48</f>
        <v>Community led LSE session</v>
      </c>
      <c r="D40" s="37" t="s">
        <v>952</v>
      </c>
      <c r="E40" s="37">
        <v>23</v>
      </c>
      <c r="F40" s="37">
        <v>23</v>
      </c>
      <c r="G40" s="65">
        <v>23</v>
      </c>
      <c r="H40" s="37">
        <v>23</v>
      </c>
      <c r="I40" s="37">
        <v>23</v>
      </c>
      <c r="J40" s="652">
        <v>23</v>
      </c>
      <c r="K40" s="366"/>
    </row>
    <row r="41" spans="1:11" s="24" customFormat="1" ht="31.5" customHeight="1">
      <c r="A41" s="35"/>
      <c r="B41" s="15" t="s">
        <v>333</v>
      </c>
      <c r="C41" s="245" t="str">
        <f>'Costed Impl plan'!C49</f>
        <v>Implement basic HIV prevention services for non-injecting drug users</v>
      </c>
      <c r="D41" s="245" t="s">
        <v>244</v>
      </c>
      <c r="E41" s="480">
        <v>10000</v>
      </c>
      <c r="F41" s="480">
        <v>10000</v>
      </c>
      <c r="G41" s="496">
        <v>10000</v>
      </c>
      <c r="H41" s="480">
        <v>10000</v>
      </c>
      <c r="I41" s="480">
        <v>10000</v>
      </c>
      <c r="J41" s="480">
        <v>10000</v>
      </c>
      <c r="K41" s="245"/>
    </row>
    <row r="42" spans="1:11" ht="54.75" customHeight="1">
      <c r="B42" s="15" t="s">
        <v>17</v>
      </c>
      <c r="C42" s="245" t="str">
        <f>'Costed Impl plan'!C50</f>
        <v>Implement basic HIV prevention services for clients of sex workers</v>
      </c>
      <c r="D42" s="245" t="s">
        <v>244</v>
      </c>
      <c r="E42" s="480">
        <v>30000</v>
      </c>
      <c r="F42" s="480">
        <v>40000</v>
      </c>
      <c r="G42" s="496">
        <v>50000</v>
      </c>
      <c r="H42" s="480">
        <v>50000</v>
      </c>
      <c r="I42" s="480">
        <v>50000</v>
      </c>
      <c r="J42" s="480">
        <v>50000</v>
      </c>
      <c r="K42" s="245"/>
    </row>
    <row r="43" spans="1:11" ht="33.75" customHeight="1">
      <c r="B43" s="15" t="s">
        <v>235</v>
      </c>
      <c r="C43" s="245" t="str">
        <f>'Costed Impl plan'!C51</f>
        <v>Continuet interventions for prisoners</v>
      </c>
      <c r="D43" s="245" t="s">
        <v>244</v>
      </c>
      <c r="E43" s="581">
        <v>12000</v>
      </c>
      <c r="F43" s="581">
        <v>12000</v>
      </c>
      <c r="G43" s="581">
        <v>12000</v>
      </c>
      <c r="H43" s="581">
        <v>12000</v>
      </c>
      <c r="I43" s="581">
        <v>12000</v>
      </c>
      <c r="J43" s="652">
        <v>12000</v>
      </c>
      <c r="K43" s="32" t="s">
        <v>274</v>
      </c>
    </row>
    <row r="44" spans="1:11" ht="25.5">
      <c r="B44" s="15" t="s">
        <v>235</v>
      </c>
      <c r="C44" s="577" t="str">
        <f>'Costed Impl plan'!C52</f>
        <v>Conduct pilot intervention for Especially Vulnerable Adolescents (EVA) with subsequent assessment</v>
      </c>
      <c r="D44" s="245"/>
      <c r="E44" s="37"/>
      <c r="F44" s="37"/>
      <c r="G44" s="65"/>
      <c r="H44" s="37"/>
      <c r="I44" s="37"/>
      <c r="J44" s="647"/>
      <c r="K44" s="339"/>
    </row>
    <row r="45" spans="1:11" ht="27.75" customHeight="1">
      <c r="B45" s="23" t="s">
        <v>334</v>
      </c>
      <c r="C45" s="245" t="str">
        <f>'Costed Impl plan'!C53</f>
        <v>Street-based</v>
      </c>
      <c r="D45" s="245" t="s">
        <v>244</v>
      </c>
      <c r="E45" s="496">
        <v>2000</v>
      </c>
      <c r="F45" s="496">
        <v>2000</v>
      </c>
      <c r="G45" s="496">
        <v>2000</v>
      </c>
      <c r="H45" s="496">
        <v>2000</v>
      </c>
      <c r="I45" s="496">
        <v>2000</v>
      </c>
      <c r="J45" s="496">
        <v>2000</v>
      </c>
      <c r="K45" s="245"/>
    </row>
    <row r="46" spans="1:11" ht="54" customHeight="1">
      <c r="B46" s="23" t="s">
        <v>335</v>
      </c>
      <c r="C46" s="245" t="str">
        <f>'Costed Impl plan'!C54</f>
        <v>Institution-based (Juvenile home, Vagrant home etc.)</v>
      </c>
      <c r="D46" s="245" t="s">
        <v>244</v>
      </c>
      <c r="E46" s="496">
        <v>1000</v>
      </c>
      <c r="F46" s="496">
        <v>1000</v>
      </c>
      <c r="G46" s="496">
        <v>1000</v>
      </c>
      <c r="H46" s="496">
        <v>1000</v>
      </c>
      <c r="I46" s="496">
        <v>1000</v>
      </c>
      <c r="J46" s="496">
        <v>1000</v>
      </c>
      <c r="K46" s="245"/>
    </row>
    <row r="47" spans="1:11" ht="16.5" customHeight="1">
      <c r="B47" s="694" t="str">
        <f>'Costed Impl plan'!B56:S56</f>
        <v>Strategy 1.3: Increased case detection and awareness raising among general population and young people</v>
      </c>
      <c r="C47" s="694"/>
      <c r="D47" s="694"/>
      <c r="E47" s="694"/>
      <c r="F47" s="694"/>
      <c r="G47" s="694"/>
      <c r="H47" s="694"/>
      <c r="I47" s="694"/>
      <c r="J47" s="694"/>
      <c r="K47" s="694"/>
    </row>
    <row r="48" spans="1:11" s="9" customFormat="1" ht="31.9" customHeight="1">
      <c r="B48" s="15" t="s">
        <v>19</v>
      </c>
      <c r="C48" s="245" t="str">
        <f>'Costed Impl plan'!C57</f>
        <v>Conduct mass media BCC campaigns based on different risk behaviors including STI</v>
      </c>
      <c r="D48" s="37" t="s">
        <v>310</v>
      </c>
      <c r="E48" s="37">
        <v>10</v>
      </c>
      <c r="F48" s="37">
        <v>10</v>
      </c>
      <c r="G48" s="37">
        <v>10</v>
      </c>
      <c r="H48" s="37">
        <v>10</v>
      </c>
      <c r="I48" s="37">
        <v>10</v>
      </c>
      <c r="J48" s="652">
        <v>10</v>
      </c>
      <c r="K48" s="245"/>
    </row>
    <row r="49" spans="2:11" ht="48.6" customHeight="1">
      <c r="B49" s="643" t="s">
        <v>20</v>
      </c>
      <c r="C49" s="245" t="str">
        <f>'Costed Impl plan'!C58</f>
        <v>Provide technical assistance and support to relevant department of Education Ministry to include HIV messages in LSE curriculum and implement accordingly</v>
      </c>
      <c r="D49" s="37" t="s">
        <v>22</v>
      </c>
      <c r="E49" s="37">
        <v>1</v>
      </c>
      <c r="F49" s="37">
        <v>1</v>
      </c>
      <c r="G49" s="65">
        <v>1</v>
      </c>
      <c r="H49" s="37">
        <v>1</v>
      </c>
      <c r="I49" s="37">
        <v>1</v>
      </c>
      <c r="J49" s="652">
        <v>1</v>
      </c>
      <c r="K49" s="245"/>
    </row>
    <row r="50" spans="2:11" s="35" customFormat="1" ht="30" customHeight="1">
      <c r="B50" s="643" t="s">
        <v>954</v>
      </c>
      <c r="C50" s="366" t="str">
        <f>'Costed Impl plan'!C59</f>
        <v>Update Education Curriculum  and TTI Training curriculum on HIV &amp; LSE from Grade- iv to Xii</v>
      </c>
      <c r="D50" s="37" t="s">
        <v>22</v>
      </c>
      <c r="E50" s="37"/>
      <c r="F50" s="37"/>
      <c r="G50" s="65">
        <v>1</v>
      </c>
      <c r="H50" s="37"/>
      <c r="I50" s="37"/>
      <c r="J50" s="652"/>
      <c r="K50" s="366"/>
    </row>
    <row r="51" spans="2:11" s="35" customFormat="1" ht="32.25" customHeight="1">
      <c r="B51" s="643" t="s">
        <v>955</v>
      </c>
      <c r="C51" s="366" t="str">
        <f>'Costed Impl plan'!C60</f>
        <v xml:space="preserve">Training of master trainers and peer educators </v>
      </c>
      <c r="D51" s="37" t="s">
        <v>991</v>
      </c>
      <c r="E51" s="37">
        <v>1</v>
      </c>
      <c r="F51" s="37">
        <v>1</v>
      </c>
      <c r="G51" s="65">
        <v>1</v>
      </c>
      <c r="H51" s="37">
        <v>1</v>
      </c>
      <c r="I51" s="37">
        <v>1</v>
      </c>
      <c r="J51" s="652">
        <v>1</v>
      </c>
      <c r="K51" s="366"/>
    </row>
    <row r="52" spans="2:11" s="35" customFormat="1" ht="30.75" customHeight="1">
      <c r="B52" s="643" t="s">
        <v>956</v>
      </c>
      <c r="C52" s="366" t="str">
        <f>'Costed Impl plan'!C61</f>
        <v>School based LSE session ( formal and non-formal set up)</v>
      </c>
      <c r="D52" s="37" t="str">
        <f>D51</f>
        <v xml:space="preserve">per year events </v>
      </c>
      <c r="E52" s="37">
        <v>1</v>
      </c>
      <c r="F52" s="37">
        <v>1</v>
      </c>
      <c r="G52" s="65">
        <v>1</v>
      </c>
      <c r="H52" s="37">
        <v>1</v>
      </c>
      <c r="I52" s="37">
        <v>1</v>
      </c>
      <c r="J52" s="652">
        <v>1</v>
      </c>
      <c r="K52" s="366"/>
    </row>
    <row r="53" spans="2:11" ht="15.75" customHeight="1">
      <c r="B53" s="694" t="str">
        <f>'Costed Impl plan'!B63:S63</f>
        <v>Strategy 1.4: Strengthening of HIV and STI prevention and other SRH services in public health care settings and functional linkages for co-infections (e.g. TB, Hepatitis, etc.)</v>
      </c>
      <c r="C53" s="694"/>
      <c r="D53" s="694"/>
      <c r="E53" s="694"/>
      <c r="F53" s="694"/>
      <c r="G53" s="694"/>
      <c r="H53" s="694"/>
      <c r="I53" s="694"/>
      <c r="J53" s="694"/>
      <c r="K53" s="694"/>
    </row>
    <row r="54" spans="2:11" ht="27.75" customHeight="1">
      <c r="B54" s="15" t="s">
        <v>26</v>
      </c>
      <c r="C54" s="245" t="str">
        <f>'Costed Impl plan'!C64</f>
        <v>Expand HTC services to public hospitals at district HQ</v>
      </c>
      <c r="D54" s="37"/>
      <c r="E54" s="244"/>
      <c r="F54" s="244"/>
      <c r="G54" s="65"/>
      <c r="H54" s="244"/>
      <c r="I54" s="474"/>
      <c r="J54" s="481"/>
      <c r="K54" s="339"/>
    </row>
    <row r="55" spans="2:11" ht="31.5" customHeight="1">
      <c r="B55" s="23" t="s">
        <v>220</v>
      </c>
      <c r="C55" s="245" t="str">
        <f>'Costed Impl plan'!C65</f>
        <v>Revision/adapation and printing of guidelines for HTC</v>
      </c>
      <c r="D55" s="37" t="s">
        <v>40</v>
      </c>
      <c r="E55" s="37"/>
      <c r="F55" s="37"/>
      <c r="G55" s="65">
        <v>1</v>
      </c>
      <c r="H55" s="37"/>
      <c r="I55" s="37"/>
      <c r="J55" s="647"/>
      <c r="K55" s="339"/>
    </row>
    <row r="56" spans="2:11" ht="49.5" customHeight="1">
      <c r="B56" s="23" t="s">
        <v>221</v>
      </c>
      <c r="C56" s="245" t="str">
        <f>'Costed Impl plan'!C66</f>
        <v>Establish HTC services in public hospitals at district level</v>
      </c>
      <c r="D56" s="37" t="s">
        <v>21</v>
      </c>
      <c r="E56" s="65">
        <v>12</v>
      </c>
      <c r="F56" s="244">
        <v>10</v>
      </c>
      <c r="G56" s="65">
        <v>10</v>
      </c>
      <c r="H56" s="244">
        <v>0</v>
      </c>
      <c r="I56" s="474">
        <v>0</v>
      </c>
      <c r="J56" s="481">
        <v>0</v>
      </c>
      <c r="K56" s="685" t="s">
        <v>1118</v>
      </c>
    </row>
    <row r="57" spans="2:11" ht="49.5" customHeight="1">
      <c r="B57" s="23" t="s">
        <v>292</v>
      </c>
      <c r="C57" s="245" t="str">
        <f>'Costed Impl plan'!C67</f>
        <v>Continue HTC services in public hospitals at district level</v>
      </c>
      <c r="D57" s="37" t="s">
        <v>21</v>
      </c>
      <c r="E57" s="65">
        <v>18</v>
      </c>
      <c r="F57" s="244">
        <v>30</v>
      </c>
      <c r="G57" s="65">
        <v>40</v>
      </c>
      <c r="H57" s="244">
        <v>50</v>
      </c>
      <c r="I57" s="474">
        <v>50</v>
      </c>
      <c r="J57" s="481">
        <v>50</v>
      </c>
      <c r="K57" s="685"/>
    </row>
    <row r="58" spans="2:11" s="35" customFormat="1" ht="49.5" customHeight="1">
      <c r="B58" s="23" t="s">
        <v>992</v>
      </c>
      <c r="C58" s="482" t="str">
        <f>'Costed Impl plan'!C68</f>
        <v>HIV testing kit</v>
      </c>
      <c r="D58" s="37" t="s">
        <v>993</v>
      </c>
      <c r="E58" s="496">
        <v>100000</v>
      </c>
      <c r="F58" s="496">
        <v>150000</v>
      </c>
      <c r="G58" s="496">
        <v>180000</v>
      </c>
      <c r="H58" s="496">
        <v>200000</v>
      </c>
      <c r="I58" s="496">
        <v>200000</v>
      </c>
      <c r="J58" s="496">
        <v>250000</v>
      </c>
      <c r="K58" s="483"/>
    </row>
    <row r="59" spans="2:11" ht="57.75" customHeight="1">
      <c r="B59" s="15" t="s">
        <v>27</v>
      </c>
      <c r="C59" s="245" t="str">
        <f>'Costed Impl plan'!C69</f>
        <v xml:space="preserve">Strengthen post-exposure prophylaxis (PEP) </v>
      </c>
      <c r="D59" s="37"/>
      <c r="E59" s="37"/>
      <c r="F59" s="37"/>
      <c r="G59" s="65"/>
      <c r="H59" s="37"/>
      <c r="I59" s="37"/>
      <c r="J59" s="647"/>
      <c r="K59" s="339"/>
    </row>
    <row r="60" spans="2:11" ht="25.5">
      <c r="B60" s="23" t="s">
        <v>222</v>
      </c>
      <c r="C60" s="245" t="str">
        <f>'Costed Impl plan'!C70</f>
        <v>Promote awareness among health care workers (64 districts)</v>
      </c>
      <c r="D60" s="37" t="s">
        <v>31</v>
      </c>
      <c r="E60" s="37">
        <v>23</v>
      </c>
      <c r="F60" s="37">
        <v>23</v>
      </c>
      <c r="G60" s="65">
        <v>23</v>
      </c>
      <c r="H60" s="37">
        <v>23</v>
      </c>
      <c r="I60" s="37">
        <v>23</v>
      </c>
      <c r="J60" s="652">
        <v>23</v>
      </c>
      <c r="K60" s="245"/>
    </row>
    <row r="61" spans="2:11">
      <c r="B61" s="23" t="s">
        <v>223</v>
      </c>
      <c r="C61" s="245" t="str">
        <f>'Costed Impl plan'!C71</f>
        <v>Establish referral and support centre</v>
      </c>
      <c r="D61" s="37" t="s">
        <v>34</v>
      </c>
      <c r="E61" s="37"/>
      <c r="F61" s="37">
        <v>1</v>
      </c>
      <c r="G61" s="65">
        <v>0</v>
      </c>
      <c r="H61" s="37"/>
      <c r="I61" s="37"/>
      <c r="J61" s="652"/>
      <c r="K61" s="245"/>
    </row>
    <row r="62" spans="2:11" s="61" customFormat="1" ht="25.5">
      <c r="B62" s="497" t="s">
        <v>224</v>
      </c>
      <c r="C62" s="498" t="str">
        <f>'Costed Impl plan'!C72</f>
        <v>Provide PEP starter kits</v>
      </c>
      <c r="D62" s="499" t="s">
        <v>37</v>
      </c>
      <c r="E62" s="499"/>
      <c r="F62" s="499">
        <v>1</v>
      </c>
      <c r="G62" s="500"/>
      <c r="H62" s="499"/>
      <c r="I62" s="499"/>
      <c r="J62" s="499"/>
      <c r="K62" s="498" t="s">
        <v>280</v>
      </c>
    </row>
    <row r="63" spans="2:11">
      <c r="B63" s="15" t="s">
        <v>28</v>
      </c>
      <c r="C63" s="245" t="str">
        <f>'Costed Impl plan'!C73</f>
        <v>Strengthen STI service provision and utlization</v>
      </c>
      <c r="D63" s="37"/>
      <c r="E63" s="37"/>
      <c r="F63" s="37"/>
      <c r="G63" s="65"/>
      <c r="H63" s="37"/>
      <c r="I63" s="37"/>
      <c r="J63" s="652"/>
      <c r="K63" s="245"/>
    </row>
    <row r="64" spans="2:11" ht="25.5">
      <c r="B64" s="23" t="s">
        <v>29</v>
      </c>
      <c r="C64" s="245" t="str">
        <f>'Costed Impl plan'!C74</f>
        <v xml:space="preserve">Integrate and promote STI knowledge in general health BCC strategies </v>
      </c>
      <c r="D64" s="37" t="s">
        <v>40</v>
      </c>
      <c r="E64" s="37"/>
      <c r="F64" s="37"/>
      <c r="G64" s="65">
        <v>1</v>
      </c>
      <c r="H64" s="37"/>
      <c r="I64" s="37"/>
      <c r="J64" s="652"/>
      <c r="K64" s="245"/>
    </row>
    <row r="65" spans="2:11" ht="38.25">
      <c r="B65" s="23" t="s">
        <v>32</v>
      </c>
      <c r="C65" s="245" t="str">
        <f>'Costed Impl plan'!C75</f>
        <v>Sensitize service providers to the special needs of key populations, PLHIV and young people (linked with 1.4.3.4)</v>
      </c>
      <c r="D65" s="37"/>
      <c r="E65" s="37"/>
      <c r="F65" s="37"/>
      <c r="G65" s="65"/>
      <c r="H65" s="37"/>
      <c r="I65" s="37"/>
      <c r="J65" s="652"/>
      <c r="K65" s="245"/>
    </row>
    <row r="66" spans="2:11" ht="48.75" customHeight="1">
      <c r="B66" s="23" t="s">
        <v>35</v>
      </c>
      <c r="C66" s="245" t="str">
        <f>'Costed Impl plan'!C76</f>
        <v>Review, revise, update and print STI management guideline</v>
      </c>
      <c r="D66" s="37" t="s">
        <v>44</v>
      </c>
      <c r="E66" s="37"/>
      <c r="F66" s="37"/>
      <c r="G66" s="65"/>
      <c r="H66" s="37"/>
      <c r="I66" s="37"/>
      <c r="J66" s="652"/>
      <c r="K66" s="245" t="s">
        <v>281</v>
      </c>
    </row>
    <row r="67" spans="2:11" ht="25.5">
      <c r="B67" s="23" t="s">
        <v>225</v>
      </c>
      <c r="C67" s="588" t="str">
        <f>'Costed Impl plan'!C77</f>
        <v>Training of service providers as per management guideline</v>
      </c>
      <c r="D67" s="569" t="s">
        <v>1054</v>
      </c>
      <c r="E67" s="593">
        <f>E147</f>
        <v>500</v>
      </c>
      <c r="F67" s="593">
        <f t="shared" ref="F67:I67" si="26">F147</f>
        <v>1500</v>
      </c>
      <c r="G67" s="593">
        <f t="shared" si="26"/>
        <v>1500</v>
      </c>
      <c r="H67" s="593">
        <f t="shared" si="26"/>
        <v>2000</v>
      </c>
      <c r="I67" s="593">
        <f t="shared" si="26"/>
        <v>500</v>
      </c>
      <c r="J67" s="652">
        <f t="shared" ref="J67" si="27">J147</f>
        <v>500</v>
      </c>
      <c r="K67" s="245" t="s">
        <v>1100</v>
      </c>
    </row>
    <row r="68" spans="2:11" ht="34.5" customHeight="1">
      <c r="B68" s="23" t="s">
        <v>248</v>
      </c>
      <c r="C68" s="245" t="str">
        <f>'Costed Impl plan'!C78</f>
        <v>Strengthen higher level STI services for complicated case management</v>
      </c>
      <c r="D68" s="37" t="s">
        <v>46</v>
      </c>
      <c r="E68" s="37">
        <v>23</v>
      </c>
      <c r="F68" s="37">
        <v>64</v>
      </c>
      <c r="G68" s="65">
        <v>64</v>
      </c>
      <c r="H68" s="37">
        <v>64</v>
      </c>
      <c r="I68" s="37">
        <v>64</v>
      </c>
      <c r="J68" s="652">
        <v>64</v>
      </c>
      <c r="K68" s="245"/>
    </row>
    <row r="69" spans="2:11">
      <c r="B69" s="18" t="s">
        <v>38</v>
      </c>
      <c r="C69" s="245" t="str">
        <f>'Costed Impl plan'!C79</f>
        <v>Provide PMTCT services</v>
      </c>
      <c r="D69" s="37"/>
      <c r="E69" s="37"/>
      <c r="F69" s="37"/>
      <c r="G69" s="65"/>
      <c r="H69" s="37"/>
      <c r="I69" s="37"/>
      <c r="J69" s="647"/>
      <c r="K69" s="245"/>
    </row>
    <row r="70" spans="2:11">
      <c r="B70" s="23" t="s">
        <v>39</v>
      </c>
      <c r="C70" s="245" t="str">
        <f>'Costed Impl plan'!C80</f>
        <v>Development of protocol for PMTCT</v>
      </c>
      <c r="D70" s="37" t="s">
        <v>47</v>
      </c>
      <c r="E70" s="37"/>
      <c r="F70" s="37"/>
      <c r="G70" s="65"/>
      <c r="H70" s="37"/>
      <c r="I70" s="37"/>
      <c r="J70" s="647"/>
      <c r="K70" s="339"/>
    </row>
    <row r="71" spans="2:11" ht="46.15" customHeight="1">
      <c r="B71" s="23" t="s">
        <v>41</v>
      </c>
      <c r="C71" s="588" t="str">
        <f>'Costed Impl plan'!C81</f>
        <v>Capacity development of staff involved in blood collection in selected districts with high PLHIV population</v>
      </c>
      <c r="D71" s="37" t="s">
        <v>1102</v>
      </c>
      <c r="E71" s="37">
        <v>23</v>
      </c>
      <c r="F71" s="37">
        <v>23</v>
      </c>
      <c r="G71" s="65">
        <v>23</v>
      </c>
      <c r="H71" s="37">
        <v>23</v>
      </c>
      <c r="I71" s="37">
        <v>23</v>
      </c>
      <c r="J71" s="652">
        <v>23</v>
      </c>
      <c r="K71" s="588" t="s">
        <v>1101</v>
      </c>
    </row>
    <row r="72" spans="2:11" ht="31.9" customHeight="1">
      <c r="B72" s="23" t="s">
        <v>42</v>
      </c>
      <c r="C72" s="247" t="str">
        <f>'Costed Impl plan'!C82</f>
        <v>Screening, identification and provide PMTCT services to HIV+ pregnant women</v>
      </c>
      <c r="D72" s="37" t="s">
        <v>226</v>
      </c>
      <c r="E72" s="37">
        <v>125</v>
      </c>
      <c r="F72" s="37">
        <v>150</v>
      </c>
      <c r="G72" s="65">
        <v>150</v>
      </c>
      <c r="H72" s="37">
        <v>150</v>
      </c>
      <c r="I72" s="37">
        <v>150</v>
      </c>
      <c r="J72" s="652">
        <v>150</v>
      </c>
      <c r="K72" s="245"/>
    </row>
    <row r="73" spans="2:11" s="35" customFormat="1" ht="49.5" customHeight="1">
      <c r="B73" s="18" t="s">
        <v>1066</v>
      </c>
      <c r="C73" s="578" t="str">
        <f>'Costed Impl plan'!C83</f>
        <v>Community mobilization and referral services to the Care support and treatment and PMTCT program</v>
      </c>
      <c r="D73" s="581" t="s">
        <v>1067</v>
      </c>
      <c r="E73" s="657">
        <v>1</v>
      </c>
      <c r="F73" s="657">
        <v>1</v>
      </c>
      <c r="G73" s="657">
        <v>1</v>
      </c>
      <c r="H73" s="657">
        <v>1</v>
      </c>
      <c r="I73" s="657">
        <v>1</v>
      </c>
      <c r="J73" s="657">
        <v>1</v>
      </c>
      <c r="K73" s="579"/>
    </row>
    <row r="74" spans="2:11" ht="35.25" customHeight="1">
      <c r="B74" s="665" t="str">
        <f>'Costed Impl plan'!B86:S86</f>
        <v>Program objective 2: To provide universal access to treatment, care and support services for the people living with HIV</v>
      </c>
      <c r="C74" s="665"/>
      <c r="D74" s="665"/>
      <c r="E74" s="665"/>
      <c r="F74" s="665"/>
      <c r="G74" s="665"/>
      <c r="H74" s="665"/>
      <c r="I74" s="665"/>
      <c r="J74" s="665"/>
      <c r="K74" s="665"/>
    </row>
    <row r="75" spans="2:11" ht="15" customHeight="1">
      <c r="B75" s="666" t="s">
        <v>0</v>
      </c>
      <c r="C75" s="666" t="s">
        <v>1</v>
      </c>
      <c r="D75" s="666" t="s">
        <v>2</v>
      </c>
      <c r="E75" s="668"/>
      <c r="F75" s="668"/>
      <c r="G75" s="668"/>
      <c r="H75" s="669"/>
      <c r="I75" s="477"/>
      <c r="J75" s="477"/>
      <c r="K75" s="666" t="s">
        <v>236</v>
      </c>
    </row>
    <row r="76" spans="2:11" ht="39.75" customHeight="1">
      <c r="B76" s="667"/>
      <c r="C76" s="667"/>
      <c r="D76" s="667"/>
      <c r="E76" s="340">
        <f>E6</f>
        <v>2018</v>
      </c>
      <c r="F76" s="340">
        <f t="shared" ref="F76:I76" si="28">F6</f>
        <v>2019</v>
      </c>
      <c r="G76" s="340">
        <f t="shared" si="28"/>
        <v>2020</v>
      </c>
      <c r="H76" s="340">
        <f t="shared" si="28"/>
        <v>2021</v>
      </c>
      <c r="I76" s="340">
        <f t="shared" si="28"/>
        <v>2022</v>
      </c>
      <c r="J76" s="654"/>
      <c r="K76" s="667"/>
    </row>
    <row r="77" spans="2:11" ht="25.15" customHeight="1">
      <c r="B77" s="664" t="str">
        <f>'Costed Impl plan'!B89:S89</f>
        <v>Strategy 2.1: Reduce mortality and morbidity among PLHIV through early detection and treatment by system strengthening of government, non-government and private sector facilities</v>
      </c>
      <c r="C77" s="664"/>
      <c r="D77" s="664"/>
      <c r="E77" s="664"/>
      <c r="F77" s="664"/>
      <c r="G77" s="664"/>
      <c r="H77" s="664"/>
      <c r="I77" s="664"/>
      <c r="J77" s="664"/>
      <c r="K77" s="664"/>
    </row>
    <row r="78" spans="2:11" ht="50.25" customHeight="1">
      <c r="B78" s="19" t="s">
        <v>1060</v>
      </c>
      <c r="C78" s="245" t="str">
        <f>'Costed Impl plan'!C90</f>
        <v>Provide ART  to eligible PLHIV</v>
      </c>
      <c r="D78" s="37" t="s">
        <v>4</v>
      </c>
      <c r="E78" s="480">
        <v>4800</v>
      </c>
      <c r="F78" s="480">
        <v>5500</v>
      </c>
      <c r="G78" s="496">
        <v>6000</v>
      </c>
      <c r="H78" s="480">
        <v>6500</v>
      </c>
      <c r="I78" s="480">
        <v>6600</v>
      </c>
      <c r="J78" s="480">
        <v>6600</v>
      </c>
      <c r="K78" s="245" t="s">
        <v>1001</v>
      </c>
    </row>
    <row r="79" spans="2:11" s="35" customFormat="1" ht="50.25" customHeight="1">
      <c r="B79" s="19" t="s">
        <v>1061</v>
      </c>
      <c r="C79" s="571" t="str">
        <f>'Costed Impl plan'!C91</f>
        <v>Number of PLHIV on ART receive viral load test</v>
      </c>
      <c r="D79" s="573" t="s">
        <v>4</v>
      </c>
      <c r="E79" s="480">
        <f>E78*0.9</f>
        <v>4320</v>
      </c>
      <c r="F79" s="480">
        <f t="shared" ref="F79:I79" si="29">F78*0.9</f>
        <v>4950</v>
      </c>
      <c r="G79" s="480">
        <f t="shared" si="29"/>
        <v>5400</v>
      </c>
      <c r="H79" s="480">
        <f t="shared" si="29"/>
        <v>5850</v>
      </c>
      <c r="I79" s="480">
        <f t="shared" si="29"/>
        <v>5940</v>
      </c>
      <c r="J79" s="480">
        <f t="shared" ref="J79" si="30">J78*0.9</f>
        <v>5940</v>
      </c>
      <c r="K79" s="571" t="s">
        <v>1119</v>
      </c>
    </row>
    <row r="80" spans="2:11" ht="15.75" customHeight="1">
      <c r="B80" s="664" t="str">
        <f>'Costed Impl plan'!B93:S93</f>
        <v>Strategy 2.2:Ensure capacity of service providers for out-patient and in-patient medical management of PLHIV in government, non-government and private sectors</v>
      </c>
      <c r="C80" s="664"/>
      <c r="D80" s="664"/>
      <c r="E80" s="664"/>
      <c r="F80" s="664"/>
      <c r="G80" s="664"/>
      <c r="H80" s="664"/>
      <c r="I80" s="664"/>
      <c r="J80" s="664"/>
      <c r="K80" s="664"/>
    </row>
    <row r="81" spans="2:11" ht="34.15" customHeight="1">
      <c r="B81" s="19" t="s">
        <v>86</v>
      </c>
      <c r="C81" s="588" t="str">
        <f>'Costed Impl plan'!C94</f>
        <v>Training of ART service providers of public and private sector with annual refresher for out-patient and in-patient care</v>
      </c>
      <c r="D81" s="37" t="str">
        <f>D71</f>
        <v>No. of districts 
(100 per district)</v>
      </c>
      <c r="E81" s="573">
        <f t="shared" ref="E81:I81" si="31">E71</f>
        <v>23</v>
      </c>
      <c r="F81" s="573">
        <f t="shared" si="31"/>
        <v>23</v>
      </c>
      <c r="G81" s="573">
        <f t="shared" si="31"/>
        <v>23</v>
      </c>
      <c r="H81" s="573">
        <f t="shared" si="31"/>
        <v>23</v>
      </c>
      <c r="I81" s="573">
        <f t="shared" si="31"/>
        <v>23</v>
      </c>
      <c r="J81" s="652">
        <f t="shared" ref="J81" si="32">J71</f>
        <v>23</v>
      </c>
      <c r="K81" s="571"/>
    </row>
    <row r="82" spans="2:11" ht="29.45" customHeight="1">
      <c r="B82" s="19" t="s">
        <v>88</v>
      </c>
      <c r="C82" s="245" t="str">
        <f>'Costed Impl plan'!C95</f>
        <v>Develop and maintain an accreditation system for trained service providers</v>
      </c>
      <c r="D82" s="37"/>
      <c r="E82" s="37">
        <v>1</v>
      </c>
      <c r="F82" s="37">
        <v>1</v>
      </c>
      <c r="G82" s="37">
        <v>1</v>
      </c>
      <c r="H82" s="37">
        <v>1</v>
      </c>
      <c r="I82" s="37">
        <v>1</v>
      </c>
      <c r="J82" s="652">
        <v>1</v>
      </c>
      <c r="K82" s="245"/>
    </row>
    <row r="83" spans="2:11" ht="48" customHeight="1">
      <c r="B83" s="19" t="s">
        <v>90</v>
      </c>
      <c r="C83" s="245" t="str">
        <f>'Costed Impl plan'!C96</f>
        <v>Develop selected Internal Medicine department of public medical college hospitals for complex treatment referral center and support for local level providers</v>
      </c>
      <c r="D83" s="37" t="s">
        <v>34</v>
      </c>
      <c r="E83" s="37">
        <v>8</v>
      </c>
      <c r="F83" s="37">
        <v>8</v>
      </c>
      <c r="G83" s="37">
        <v>8</v>
      </c>
      <c r="H83" s="37">
        <v>8</v>
      </c>
      <c r="I83" s="37">
        <v>8</v>
      </c>
      <c r="J83" s="652">
        <v>8</v>
      </c>
      <c r="K83" s="245" t="s">
        <v>1058</v>
      </c>
    </row>
    <row r="84" spans="2:11" ht="47.45" customHeight="1">
      <c r="B84" s="19" t="s">
        <v>91</v>
      </c>
      <c r="C84" s="245" t="str">
        <f>'Costed Impl plan'!C97</f>
        <v>Establish pediatric HIV management center in a child hospital</v>
      </c>
      <c r="D84" s="37" t="s">
        <v>21</v>
      </c>
      <c r="E84" s="37">
        <v>8</v>
      </c>
      <c r="F84" s="37">
        <v>8</v>
      </c>
      <c r="G84" s="37">
        <v>8</v>
      </c>
      <c r="H84" s="37">
        <v>8</v>
      </c>
      <c r="I84" s="37">
        <v>8</v>
      </c>
      <c r="J84" s="652">
        <v>8</v>
      </c>
      <c r="K84" s="245" t="s">
        <v>1057</v>
      </c>
    </row>
    <row r="85" spans="2:11" ht="15.75" customHeight="1">
      <c r="B85" s="664" t="str">
        <f>'Costed Impl plan'!B99:S99</f>
        <v>Strategy 2.3: Ensure functional systems for related policy adoption, linkages and update</v>
      </c>
      <c r="C85" s="664"/>
      <c r="D85" s="664"/>
      <c r="E85" s="664"/>
      <c r="F85" s="664"/>
      <c r="G85" s="664"/>
      <c r="H85" s="664"/>
      <c r="I85" s="664"/>
      <c r="J85" s="664"/>
      <c r="K85" s="664"/>
    </row>
    <row r="86" spans="2:11" ht="35.450000000000003" customHeight="1">
      <c r="B86" s="19" t="s">
        <v>94</v>
      </c>
      <c r="C86" s="245" t="str">
        <f>'Costed Impl plan'!C100</f>
        <v>Review, update and dissemination of treatment protocol - 2 times</v>
      </c>
      <c r="D86" s="37" t="s">
        <v>44</v>
      </c>
      <c r="E86" s="37"/>
      <c r="F86" s="37">
        <v>1</v>
      </c>
      <c r="G86" s="65"/>
      <c r="H86" s="37"/>
      <c r="I86" s="37"/>
      <c r="J86" s="652"/>
      <c r="K86" s="245" t="s">
        <v>1059</v>
      </c>
    </row>
    <row r="87" spans="2:11" ht="36" customHeight="1">
      <c r="B87" s="19" t="s">
        <v>99</v>
      </c>
      <c r="C87" s="245" t="str">
        <f>'Costed Impl plan'!C101</f>
        <v>Integrate HIV treatment and management in medical curriculum</v>
      </c>
      <c r="D87" s="37" t="s">
        <v>40</v>
      </c>
      <c r="E87" s="37"/>
      <c r="F87" s="37"/>
      <c r="G87" s="65"/>
      <c r="H87" s="37"/>
      <c r="I87" s="37"/>
      <c r="J87" s="652"/>
      <c r="K87" s="245"/>
    </row>
    <row r="88" spans="2:11" ht="32.25" customHeight="1">
      <c r="B88" s="19" t="s">
        <v>255</v>
      </c>
      <c r="C88" s="245" t="str">
        <f>'Costed Impl plan'!C102</f>
        <v>Develop and maintain functional HIV treatment and management task force</v>
      </c>
      <c r="D88" s="37" t="s">
        <v>18</v>
      </c>
      <c r="E88" s="37">
        <v>4</v>
      </c>
      <c r="F88" s="37">
        <v>4</v>
      </c>
      <c r="G88" s="65">
        <v>4</v>
      </c>
      <c r="H88" s="37">
        <v>4</v>
      </c>
      <c r="I88" s="37">
        <v>4</v>
      </c>
      <c r="J88" s="652">
        <v>4</v>
      </c>
      <c r="K88" s="245"/>
    </row>
    <row r="89" spans="2:11" ht="38.25">
      <c r="B89" s="19" t="s">
        <v>256</v>
      </c>
      <c r="C89" s="245" t="str">
        <f>'Costed Impl plan'!C103</f>
        <v>Develop, facilitate and maintain Professional Society of ART providers</v>
      </c>
      <c r="D89" s="37" t="s">
        <v>93</v>
      </c>
      <c r="E89" s="37">
        <v>1</v>
      </c>
      <c r="F89" s="37">
        <v>1</v>
      </c>
      <c r="G89" s="65">
        <v>1</v>
      </c>
      <c r="H89" s="37">
        <v>1</v>
      </c>
      <c r="I89" s="37">
        <v>1</v>
      </c>
      <c r="J89" s="652">
        <v>1</v>
      </c>
      <c r="K89" s="245" t="s">
        <v>209</v>
      </c>
    </row>
    <row r="90" spans="2:11" ht="29.45" customHeight="1">
      <c r="B90" s="664" t="str">
        <f>'Costed Impl plan'!B105:S105</f>
        <v>Strategy 2.4: A comprehensive approach to community support system adopted and implemented to strengthen treatment adherence, care and support for PLHIV including CABA and OVC</v>
      </c>
      <c r="C90" s="664"/>
      <c r="D90" s="664"/>
      <c r="E90" s="664"/>
      <c r="F90" s="664"/>
      <c r="G90" s="664"/>
      <c r="H90" s="664"/>
      <c r="I90" s="664"/>
      <c r="J90" s="664"/>
      <c r="K90" s="664"/>
    </row>
    <row r="91" spans="2:11" ht="18.600000000000001" customHeight="1">
      <c r="B91" s="19" t="s">
        <v>257</v>
      </c>
      <c r="C91" s="245" t="str">
        <f>'Costed Impl plan'!C106</f>
        <v>Implement comprehensive care plan model</v>
      </c>
      <c r="D91" s="37"/>
      <c r="E91" s="37"/>
      <c r="F91" s="37"/>
      <c r="G91" s="65"/>
      <c r="H91" s="37"/>
      <c r="I91" s="37"/>
      <c r="J91" s="647"/>
      <c r="K91" s="245"/>
    </row>
    <row r="92" spans="2:11" ht="40.5" customHeight="1">
      <c r="B92" s="23" t="s">
        <v>258</v>
      </c>
      <c r="C92" s="245" t="str">
        <f>'Costed Impl plan'!C107</f>
        <v>Develop/update protocol for care and support</v>
      </c>
      <c r="D92" s="37" t="s">
        <v>97</v>
      </c>
      <c r="E92" s="37">
        <v>1</v>
      </c>
      <c r="F92" s="37"/>
      <c r="G92" s="65"/>
      <c r="H92" s="37"/>
      <c r="I92" s="37"/>
      <c r="J92" s="652"/>
      <c r="K92" s="245" t="s">
        <v>295</v>
      </c>
    </row>
    <row r="93" spans="2:11" ht="22.15" customHeight="1">
      <c r="B93" s="23" t="s">
        <v>259</v>
      </c>
      <c r="C93" s="245" t="str">
        <f>'Costed Impl plan'!C108</f>
        <v>Conduct capacity buidling for care providers</v>
      </c>
      <c r="D93" s="37" t="s">
        <v>4</v>
      </c>
      <c r="E93" s="37">
        <v>250</v>
      </c>
      <c r="F93" s="37">
        <v>250</v>
      </c>
      <c r="G93" s="65">
        <v>250</v>
      </c>
      <c r="H93" s="37">
        <v>250</v>
      </c>
      <c r="I93" s="37">
        <v>250</v>
      </c>
      <c r="J93" s="652">
        <v>250</v>
      </c>
      <c r="K93" s="245"/>
    </row>
    <row r="94" spans="2:11" ht="33" customHeight="1">
      <c r="B94" s="23" t="s">
        <v>260</v>
      </c>
      <c r="C94" s="642" t="str">
        <f>'Costed Impl plan'!C109</f>
        <v>Map support services for care and support with required local level advocacy</v>
      </c>
      <c r="D94" s="37" t="s">
        <v>294</v>
      </c>
      <c r="E94" s="37"/>
      <c r="F94" s="37">
        <v>64</v>
      </c>
      <c r="G94" s="65"/>
      <c r="H94" s="37"/>
      <c r="I94" s="37"/>
      <c r="J94" s="652"/>
      <c r="K94" s="245"/>
    </row>
    <row r="95" spans="2:11" ht="57.6" customHeight="1">
      <c r="B95" s="23" t="s">
        <v>261</v>
      </c>
      <c r="C95" s="245" t="str">
        <f>'Costed Impl plan'!C110</f>
        <v>Number of PLHIV enrolled in HIV care</v>
      </c>
      <c r="D95" s="37" t="s">
        <v>4</v>
      </c>
      <c r="E95" s="576">
        <f>ROUND(10300*0.425*0.9, 0)</f>
        <v>3940</v>
      </c>
      <c r="F95" s="576">
        <f>ROUND(10513*0.425*0.9, 0)</f>
        <v>4021</v>
      </c>
      <c r="G95" s="576">
        <f>ROUND(10739*0.425*0.9, 0)</f>
        <v>4108</v>
      </c>
      <c r="H95" s="576">
        <f>ROUND(10994*0.425*0.9, 0)</f>
        <v>4205</v>
      </c>
      <c r="I95" s="576">
        <f>ROUND(11275*0.425*0.9, 0)</f>
        <v>4313</v>
      </c>
      <c r="J95" s="576">
        <f>ROUND(11275*0.425*0.9, 0)</f>
        <v>4313</v>
      </c>
      <c r="K95" s="245" t="s">
        <v>1120</v>
      </c>
    </row>
    <row r="96" spans="2:11" s="35" customFormat="1" ht="31.9" customHeight="1">
      <c r="B96" s="23" t="s">
        <v>1133</v>
      </c>
      <c r="C96" s="631" t="str">
        <f>'Costed Impl plan'!C111</f>
        <v>Number of CABA and OVC enrolled in care and support</v>
      </c>
      <c r="D96" s="632" t="s">
        <v>4</v>
      </c>
      <c r="E96" s="576">
        <v>2389</v>
      </c>
      <c r="F96" s="576">
        <v>2389</v>
      </c>
      <c r="G96" s="576">
        <v>2389</v>
      </c>
      <c r="H96" s="576">
        <v>2389</v>
      </c>
      <c r="I96" s="576">
        <v>2389</v>
      </c>
      <c r="J96" s="576">
        <v>2389</v>
      </c>
      <c r="K96" s="631" t="s">
        <v>1134</v>
      </c>
    </row>
    <row r="97" spans="2:11" ht="31.5" customHeight="1">
      <c r="B97" s="15" t="s">
        <v>262</v>
      </c>
      <c r="C97" s="245" t="str">
        <f>'Costed Impl plan'!C112</f>
        <v>Strengthen capacity of PLHIV organisations to take lead role in care and support coordination</v>
      </c>
      <c r="D97" s="37"/>
      <c r="E97" s="37"/>
      <c r="F97" s="37"/>
      <c r="G97" s="65"/>
      <c r="H97" s="37"/>
      <c r="I97" s="37"/>
      <c r="J97" s="652"/>
      <c r="K97" s="245"/>
    </row>
    <row r="98" spans="2:11" ht="21.75" customHeight="1">
      <c r="B98" s="23" t="s">
        <v>263</v>
      </c>
      <c r="C98" s="245" t="str">
        <f>'Costed Impl plan'!C113</f>
        <v>Conduct training for PLHIV groups</v>
      </c>
      <c r="D98" s="37" t="s">
        <v>4</v>
      </c>
      <c r="E98" s="37">
        <v>200</v>
      </c>
      <c r="F98" s="37">
        <v>200</v>
      </c>
      <c r="G98" s="65">
        <v>200</v>
      </c>
      <c r="H98" s="37">
        <v>200</v>
      </c>
      <c r="I98" s="37">
        <v>200</v>
      </c>
      <c r="J98" s="652">
        <v>200</v>
      </c>
      <c r="K98" s="245"/>
    </row>
    <row r="99" spans="2:11" s="35" customFormat="1" ht="33" customHeight="1">
      <c r="B99" s="23" t="s">
        <v>264</v>
      </c>
      <c r="C99" s="566" t="str">
        <f>'Costed Impl plan'!C114</f>
        <v>Provide funding to PLHIV organisations to set up and run care and support coordination role</v>
      </c>
      <c r="D99" s="568"/>
      <c r="E99" s="568"/>
      <c r="F99" s="568"/>
      <c r="G99" s="65"/>
      <c r="H99" s="568"/>
      <c r="I99" s="568"/>
      <c r="J99" s="652"/>
      <c r="K99" s="566"/>
    </row>
    <row r="100" spans="2:11" s="35" customFormat="1" ht="33" customHeight="1">
      <c r="B100" s="23" t="s">
        <v>642</v>
      </c>
      <c r="C100" s="548" t="str">
        <f>'Costed Impl plan'!C115</f>
        <v>Set up support</v>
      </c>
      <c r="D100" s="549" t="s">
        <v>102</v>
      </c>
      <c r="E100" s="568">
        <v>1</v>
      </c>
      <c r="F100" s="568">
        <v>1</v>
      </c>
      <c r="G100" s="65"/>
      <c r="H100" s="568"/>
      <c r="I100" s="568"/>
      <c r="J100" s="652"/>
      <c r="K100" s="566"/>
    </row>
    <row r="101" spans="2:11" ht="33" customHeight="1">
      <c r="B101" s="23" t="s">
        <v>643</v>
      </c>
      <c r="C101" s="548" t="str">
        <f>'Costed Impl plan'!C116</f>
        <v>Running support</v>
      </c>
      <c r="D101" s="549" t="s">
        <v>641</v>
      </c>
      <c r="E101" s="37">
        <v>18</v>
      </c>
      <c r="F101" s="568">
        <v>18</v>
      </c>
      <c r="G101" s="568">
        <v>18</v>
      </c>
      <c r="H101" s="568">
        <v>18</v>
      </c>
      <c r="I101" s="568">
        <v>18</v>
      </c>
      <c r="J101" s="652">
        <v>18</v>
      </c>
      <c r="K101" s="245"/>
    </row>
    <row r="102" spans="2:11" ht="42.75" customHeight="1">
      <c r="B102" s="661" t="str">
        <f>'Costed Impl plan'!B119:S119</f>
        <v>Program objective 3: To strengthen the coordination mechanisms and management capacity at different levels to ensure an effective national multi-sector HIV/AIDS response</v>
      </c>
      <c r="C102" s="661"/>
      <c r="D102" s="661"/>
      <c r="E102" s="661"/>
      <c r="F102" s="661"/>
      <c r="G102" s="661"/>
      <c r="H102" s="661"/>
      <c r="I102" s="661"/>
      <c r="J102" s="661"/>
      <c r="K102" s="661"/>
    </row>
    <row r="103" spans="2:11" ht="15" customHeight="1">
      <c r="B103" s="659" t="s">
        <v>0</v>
      </c>
      <c r="C103" s="659" t="s">
        <v>1</v>
      </c>
      <c r="D103" s="659" t="s">
        <v>2</v>
      </c>
      <c r="E103" s="662"/>
      <c r="F103" s="662"/>
      <c r="G103" s="662"/>
      <c r="H103" s="663"/>
      <c r="I103" s="478"/>
      <c r="J103" s="478"/>
      <c r="K103" s="659" t="s">
        <v>236</v>
      </c>
    </row>
    <row r="104" spans="2:11" ht="39.75" customHeight="1">
      <c r="B104" s="660"/>
      <c r="C104" s="660"/>
      <c r="D104" s="660"/>
      <c r="E104" s="341">
        <f>E6</f>
        <v>2018</v>
      </c>
      <c r="F104" s="341">
        <f t="shared" ref="F104:J104" si="33">F6</f>
        <v>2019</v>
      </c>
      <c r="G104" s="341">
        <f t="shared" si="33"/>
        <v>2020</v>
      </c>
      <c r="H104" s="341">
        <f t="shared" si="33"/>
        <v>2021</v>
      </c>
      <c r="I104" s="341">
        <f t="shared" si="33"/>
        <v>2022</v>
      </c>
      <c r="J104" s="341">
        <f t="shared" si="33"/>
        <v>2023</v>
      </c>
      <c r="K104" s="660"/>
    </row>
    <row r="105" spans="2:11" ht="15.75" customHeight="1">
      <c r="B105" s="658" t="str">
        <f>'Costed Impl plan'!B122:S122</f>
        <v>Strategy 3.1: Strengthen NAC and TC-NAC for a more functional role in guiding the national HIV response</v>
      </c>
      <c r="C105" s="658"/>
      <c r="D105" s="658"/>
      <c r="E105" s="658"/>
      <c r="F105" s="658"/>
      <c r="G105" s="658"/>
      <c r="H105" s="658"/>
      <c r="I105" s="658"/>
      <c r="J105" s="658"/>
      <c r="K105" s="658"/>
    </row>
    <row r="106" spans="2:11" ht="18" customHeight="1">
      <c r="B106" s="15" t="s">
        <v>103</v>
      </c>
      <c r="C106" s="245" t="str">
        <f>'Costed Impl plan'!C123</f>
        <v xml:space="preserve">Conduct annual meeting of NAC </v>
      </c>
      <c r="D106" s="37" t="s">
        <v>18</v>
      </c>
      <c r="E106" s="37">
        <v>1</v>
      </c>
      <c r="F106" s="37">
        <v>1</v>
      </c>
      <c r="G106" s="65">
        <v>1</v>
      </c>
      <c r="H106" s="37">
        <v>1</v>
      </c>
      <c r="I106" s="37">
        <v>1</v>
      </c>
      <c r="J106" s="652">
        <v>1</v>
      </c>
      <c r="K106" s="245"/>
    </row>
    <row r="107" spans="2:11" ht="16.899999999999999" customHeight="1">
      <c r="B107" s="15" t="s">
        <v>104</v>
      </c>
      <c r="C107" s="245" t="str">
        <f>'Costed Impl plan'!C124</f>
        <v>Conduct quarterly meetings of TC-NAC</v>
      </c>
      <c r="D107" s="37" t="s">
        <v>18</v>
      </c>
      <c r="E107" s="37">
        <v>4</v>
      </c>
      <c r="F107" s="37">
        <v>4</v>
      </c>
      <c r="G107" s="65">
        <v>4</v>
      </c>
      <c r="H107" s="37">
        <v>4</v>
      </c>
      <c r="I107" s="37">
        <v>4</v>
      </c>
      <c r="J107" s="652">
        <v>4</v>
      </c>
      <c r="K107" s="342"/>
    </row>
    <row r="108" spans="2:11" ht="20.45" customHeight="1">
      <c r="B108" s="15" t="s">
        <v>106</v>
      </c>
      <c r="C108" s="245" t="str">
        <f>'Costed Impl plan'!C125</f>
        <v xml:space="preserve">Produce annual program report </v>
      </c>
      <c r="D108" s="37" t="s">
        <v>107</v>
      </c>
      <c r="E108" s="37">
        <v>1</v>
      </c>
      <c r="F108" s="37">
        <v>1</v>
      </c>
      <c r="G108" s="65">
        <v>1</v>
      </c>
      <c r="H108" s="37">
        <v>1</v>
      </c>
      <c r="I108" s="37">
        <v>1</v>
      </c>
      <c r="J108" s="652">
        <v>1</v>
      </c>
      <c r="K108" s="245"/>
    </row>
    <row r="109" spans="2:11" ht="15.75" customHeight="1">
      <c r="B109" s="658" t="str">
        <f>'Costed Impl plan'!B127:S127</f>
        <v>Strategy  3.2: Strengthen NASP through providing appropriate structure, human resources and other logistics</v>
      </c>
      <c r="C109" s="658"/>
      <c r="D109" s="658"/>
      <c r="E109" s="658"/>
      <c r="F109" s="658"/>
      <c r="G109" s="658"/>
      <c r="H109" s="658"/>
      <c r="I109" s="658"/>
      <c r="J109" s="658"/>
      <c r="K109" s="658"/>
    </row>
    <row r="110" spans="2:11">
      <c r="B110" s="15" t="s">
        <v>108</v>
      </c>
      <c r="C110" s="245" t="str">
        <f>'Costed Impl plan'!C128</f>
        <v>Continue four sub-units and provide logistical support</v>
      </c>
      <c r="D110" s="37"/>
      <c r="E110" s="37"/>
      <c r="F110" s="37"/>
      <c r="G110" s="65"/>
      <c r="H110" s="37"/>
      <c r="I110" s="37"/>
      <c r="J110" s="647"/>
      <c r="K110" s="245"/>
    </row>
    <row r="111" spans="2:11">
      <c r="B111" s="23" t="s">
        <v>109</v>
      </c>
      <c r="C111" s="245" t="str">
        <f>'Costed Impl plan'!C129</f>
        <v>Provide equipment, furniture and logistics</v>
      </c>
      <c r="D111" s="37" t="s">
        <v>62</v>
      </c>
      <c r="E111" s="37"/>
      <c r="F111" s="37"/>
      <c r="G111" s="65"/>
      <c r="H111" s="37"/>
      <c r="I111" s="37"/>
      <c r="J111" s="647"/>
      <c r="K111" s="245"/>
    </row>
    <row r="112" spans="2:11">
      <c r="B112" s="23" t="s">
        <v>111</v>
      </c>
      <c r="C112" s="245" t="str">
        <f>'Costed Impl plan'!C130</f>
        <v>Provide utilities and supplies</v>
      </c>
      <c r="D112" s="37" t="s">
        <v>61</v>
      </c>
      <c r="E112" s="37">
        <v>12</v>
      </c>
      <c r="F112" s="37">
        <v>12</v>
      </c>
      <c r="G112" s="65">
        <v>12</v>
      </c>
      <c r="H112" s="37">
        <v>12</v>
      </c>
      <c r="I112" s="37">
        <v>12</v>
      </c>
      <c r="J112" s="652">
        <v>12</v>
      </c>
      <c r="K112" s="245"/>
    </row>
    <row r="113" spans="2:11">
      <c r="B113" s="15" t="s">
        <v>113</v>
      </c>
      <c r="C113" s="245" t="str">
        <f>'Costed Impl plan'!C131</f>
        <v>Recruit/ appoint technical experts as per unit's need</v>
      </c>
      <c r="D113" s="587" t="s">
        <v>61</v>
      </c>
      <c r="E113" s="37">
        <v>12</v>
      </c>
      <c r="F113" s="37">
        <v>12</v>
      </c>
      <c r="G113" s="65">
        <v>12</v>
      </c>
      <c r="H113" s="37">
        <v>12</v>
      </c>
      <c r="I113" s="37">
        <v>12</v>
      </c>
      <c r="J113" s="652">
        <v>12</v>
      </c>
      <c r="K113" s="245"/>
    </row>
    <row r="114" spans="2:11">
      <c r="B114" s="15" t="s">
        <v>115</v>
      </c>
      <c r="C114" s="245" t="str">
        <f>'Costed Impl plan'!C132</f>
        <v>Conduct advisory committee meetings (half yearly)</v>
      </c>
      <c r="D114" s="37" t="s">
        <v>18</v>
      </c>
      <c r="E114" s="37">
        <f t="shared" ref="E114:J114" si="34">7*2</f>
        <v>14</v>
      </c>
      <c r="F114" s="587">
        <f t="shared" si="34"/>
        <v>14</v>
      </c>
      <c r="G114" s="587">
        <f t="shared" si="34"/>
        <v>14</v>
      </c>
      <c r="H114" s="587">
        <f t="shared" si="34"/>
        <v>14</v>
      </c>
      <c r="I114" s="587">
        <f t="shared" si="34"/>
        <v>14</v>
      </c>
      <c r="J114" s="652">
        <f t="shared" si="34"/>
        <v>14</v>
      </c>
      <c r="K114" s="245"/>
    </row>
    <row r="115" spans="2:11" ht="15" customHeight="1">
      <c r="B115" s="658" t="str">
        <f>'Costed Impl plan'!B134:S134</f>
        <v>Strategy 3.3: Conduct stakeholder forums to coordinate, review and discuss the HIV response across other ministries and departments and with civil society groups</v>
      </c>
      <c r="C115" s="658"/>
      <c r="D115" s="658"/>
      <c r="E115" s="658"/>
      <c r="F115" s="658"/>
      <c r="G115" s="658"/>
      <c r="H115" s="658"/>
      <c r="I115" s="658"/>
      <c r="J115" s="658"/>
      <c r="K115" s="658"/>
    </row>
    <row r="116" spans="2:11" ht="21.6" customHeight="1">
      <c r="B116" s="15" t="s">
        <v>116</v>
      </c>
      <c r="C116" s="245" t="str">
        <f>'Costed Impl plan'!C135</f>
        <v>Conduct 6-monthly donor coordination meetings</v>
      </c>
      <c r="D116" s="37" t="s">
        <v>18</v>
      </c>
      <c r="E116" s="37">
        <v>2</v>
      </c>
      <c r="F116" s="37">
        <v>2</v>
      </c>
      <c r="G116" s="65">
        <v>2</v>
      </c>
      <c r="H116" s="37">
        <v>2</v>
      </c>
      <c r="I116" s="37">
        <v>2</v>
      </c>
      <c r="J116" s="652">
        <v>2</v>
      </c>
      <c r="K116" s="245"/>
    </row>
    <row r="117" spans="2:11" ht="18" customHeight="1">
      <c r="B117" s="15" t="s">
        <v>117</v>
      </c>
      <c r="C117" s="245" t="str">
        <f>'Costed Impl plan'!C136</f>
        <v xml:space="preserve">Conduct yearly meetings of Ministry focal points </v>
      </c>
      <c r="D117" s="37" t="s">
        <v>18</v>
      </c>
      <c r="E117" s="37">
        <v>1</v>
      </c>
      <c r="F117" s="37">
        <v>1</v>
      </c>
      <c r="G117" s="65">
        <v>1</v>
      </c>
      <c r="H117" s="37">
        <v>1</v>
      </c>
      <c r="I117" s="37">
        <v>1</v>
      </c>
      <c r="J117" s="652">
        <v>1</v>
      </c>
      <c r="K117" s="245"/>
    </row>
    <row r="118" spans="2:11" ht="19.149999999999999" customHeight="1">
      <c r="B118" s="15" t="s">
        <v>118</v>
      </c>
      <c r="C118" s="245" t="str">
        <f>'Costed Impl plan'!C137</f>
        <v>Conduct biannual HIV Congress</v>
      </c>
      <c r="D118" s="37" t="s">
        <v>18</v>
      </c>
      <c r="E118" s="37">
        <v>1</v>
      </c>
      <c r="F118" s="37"/>
      <c r="G118" s="65">
        <v>1</v>
      </c>
      <c r="H118" s="37"/>
      <c r="I118" s="37">
        <v>1</v>
      </c>
      <c r="J118" s="652">
        <v>1</v>
      </c>
      <c r="K118" s="339"/>
    </row>
    <row r="119" spans="2:11" ht="32.450000000000003" customHeight="1">
      <c r="B119" s="15" t="s">
        <v>120</v>
      </c>
      <c r="C119" s="245" t="str">
        <f>'Costed Impl plan'!C138</f>
        <v>Develop functional district level coordination under district health authority (CS) to be facilitated by local agency</v>
      </c>
      <c r="D119" s="37" t="s">
        <v>18</v>
      </c>
      <c r="E119" s="37">
        <v>64</v>
      </c>
      <c r="F119" s="37">
        <v>64</v>
      </c>
      <c r="G119" s="65">
        <v>64</v>
      </c>
      <c r="H119" s="37">
        <v>64</v>
      </c>
      <c r="I119" s="37">
        <v>64</v>
      </c>
      <c r="J119" s="652">
        <v>64</v>
      </c>
      <c r="K119" s="245"/>
    </row>
    <row r="120" spans="2:11" ht="15.75" customHeight="1">
      <c r="B120" s="658" t="str">
        <f>'Costed Impl plan'!B140:S140</f>
        <v>Strategy 3.4: Conduct advocacy activities for an enabling environment</v>
      </c>
      <c r="C120" s="658"/>
      <c r="D120" s="658"/>
      <c r="E120" s="658"/>
      <c r="F120" s="658"/>
      <c r="G120" s="658"/>
      <c r="H120" s="658"/>
      <c r="I120" s="658"/>
      <c r="J120" s="658"/>
      <c r="K120" s="658"/>
    </row>
    <row r="121" spans="2:11" ht="25.5">
      <c r="B121" s="636" t="s">
        <v>122</v>
      </c>
      <c r="C121" s="245" t="str">
        <f>'Costed Impl plan'!C141</f>
        <v>Develop / revise HIV / AIDS advocacy strategy</v>
      </c>
      <c r="D121" s="37" t="s">
        <v>124</v>
      </c>
      <c r="E121" s="37"/>
      <c r="F121" s="37"/>
      <c r="G121" s="65"/>
      <c r="H121" s="37"/>
      <c r="I121" s="37"/>
      <c r="J121" s="647"/>
      <c r="K121" s="245"/>
    </row>
    <row r="122" spans="2:11" ht="25.5">
      <c r="B122" s="636" t="s">
        <v>1137</v>
      </c>
      <c r="C122" s="245" t="str">
        <f>'Costed Impl plan'!C142</f>
        <v>Develop advocacy materials (packages)</v>
      </c>
      <c r="D122" s="37" t="s">
        <v>126</v>
      </c>
      <c r="E122" s="480">
        <v>10000</v>
      </c>
      <c r="F122" s="480">
        <v>10000</v>
      </c>
      <c r="G122" s="496">
        <v>10000</v>
      </c>
      <c r="H122" s="480">
        <v>10000</v>
      </c>
      <c r="I122" s="480">
        <v>10000</v>
      </c>
      <c r="J122" s="480">
        <v>10000</v>
      </c>
      <c r="K122" s="245"/>
    </row>
    <row r="123" spans="2:11" ht="25.5">
      <c r="B123" s="636" t="s">
        <v>1138</v>
      </c>
      <c r="C123" s="245" t="str">
        <f>'Costed Impl plan'!C143</f>
        <v>Conduct national level advocacy</v>
      </c>
      <c r="D123" s="37" t="s">
        <v>128</v>
      </c>
      <c r="E123" s="480">
        <v>500</v>
      </c>
      <c r="F123" s="480">
        <v>500</v>
      </c>
      <c r="G123" s="496">
        <v>500</v>
      </c>
      <c r="H123" s="480">
        <v>500</v>
      </c>
      <c r="I123" s="480">
        <v>500</v>
      </c>
      <c r="J123" s="480">
        <v>500</v>
      </c>
      <c r="K123" s="245"/>
    </row>
    <row r="124" spans="2:11" ht="29.25" customHeight="1">
      <c r="B124" s="636" t="s">
        <v>1139</v>
      </c>
      <c r="C124" s="245" t="str">
        <f>'Costed Impl plan'!C144</f>
        <v>Conduct regional/ divisional/ district level advocacy</v>
      </c>
      <c r="D124" s="37" t="s">
        <v>128</v>
      </c>
      <c r="E124" s="480">
        <f>100*64</f>
        <v>6400</v>
      </c>
      <c r="F124" s="480">
        <f t="shared" ref="F124:H125" si="35">E124</f>
        <v>6400</v>
      </c>
      <c r="G124" s="480">
        <f t="shared" si="35"/>
        <v>6400</v>
      </c>
      <c r="H124" s="480">
        <f t="shared" si="35"/>
        <v>6400</v>
      </c>
      <c r="I124" s="480">
        <f>H124</f>
        <v>6400</v>
      </c>
      <c r="J124" s="480">
        <f>I124</f>
        <v>6400</v>
      </c>
      <c r="K124" s="245"/>
    </row>
    <row r="125" spans="2:11" ht="25.5">
      <c r="B125" s="636" t="s">
        <v>1140</v>
      </c>
      <c r="C125" s="245" t="str">
        <f>'Costed Impl plan'!C145</f>
        <v xml:space="preserve">Conduct local level advocacy </v>
      </c>
      <c r="D125" s="37" t="s">
        <v>128</v>
      </c>
      <c r="E125" s="480">
        <f>450*4*25</f>
        <v>45000</v>
      </c>
      <c r="F125" s="480">
        <f t="shared" si="35"/>
        <v>45000</v>
      </c>
      <c r="G125" s="480">
        <f t="shared" si="35"/>
        <v>45000</v>
      </c>
      <c r="H125" s="480">
        <f t="shared" si="35"/>
        <v>45000</v>
      </c>
      <c r="I125" s="480">
        <f>H125</f>
        <v>45000</v>
      </c>
      <c r="J125" s="480">
        <f>I125</f>
        <v>45000</v>
      </c>
      <c r="K125" s="245"/>
    </row>
    <row r="126" spans="2:11" ht="25.5">
      <c r="B126" s="636" t="s">
        <v>1141</v>
      </c>
      <c r="C126" s="245" t="str">
        <f>'Costed Impl plan'!C146</f>
        <v>Celebration of World AIDS Day</v>
      </c>
      <c r="D126" s="37" t="s">
        <v>131</v>
      </c>
      <c r="E126" s="37">
        <v>1</v>
      </c>
      <c r="F126" s="37">
        <v>1</v>
      </c>
      <c r="G126" s="65">
        <v>1</v>
      </c>
      <c r="H126" s="37">
        <v>1</v>
      </c>
      <c r="I126" s="37">
        <v>1</v>
      </c>
      <c r="J126" s="652">
        <v>1</v>
      </c>
      <c r="K126" s="245"/>
    </row>
    <row r="127" spans="2:11" ht="28.15" customHeight="1">
      <c r="B127" s="658" t="str">
        <f>'Costed Impl plan'!B148:S148</f>
        <v>Strategy  3.5: Facilitate development and implementation of activities and plans in key sectors for strengthened collaboration on HIV prevention</v>
      </c>
      <c r="C127" s="658"/>
      <c r="D127" s="658"/>
      <c r="E127" s="658"/>
      <c r="F127" s="658"/>
      <c r="G127" s="658"/>
      <c r="H127" s="658"/>
      <c r="I127" s="658"/>
      <c r="J127" s="658"/>
      <c r="K127" s="658"/>
    </row>
    <row r="128" spans="2:11" ht="25.5">
      <c r="B128" s="15" t="s">
        <v>132</v>
      </c>
      <c r="C128" s="245" t="str">
        <f>'Costed Impl plan'!C149</f>
        <v>Provide technical support for development and implement workplans in key Ministries</v>
      </c>
      <c r="D128" s="37" t="s">
        <v>134</v>
      </c>
      <c r="E128" s="37">
        <v>16</v>
      </c>
      <c r="F128" s="37">
        <v>16</v>
      </c>
      <c r="G128" s="37">
        <v>16</v>
      </c>
      <c r="H128" s="37">
        <v>16</v>
      </c>
      <c r="I128" s="37">
        <v>16</v>
      </c>
      <c r="J128" s="652">
        <v>16</v>
      </c>
      <c r="K128" s="245"/>
    </row>
    <row r="129" spans="1:11" ht="25.5">
      <c r="B129" s="15" t="s">
        <v>135</v>
      </c>
      <c r="C129" s="245" t="str">
        <f>'Costed Impl plan'!C150</f>
        <v>Develop and implement strategy for Ministry of Home Affairs</v>
      </c>
      <c r="D129" s="37" t="s">
        <v>124</v>
      </c>
      <c r="E129" s="37"/>
      <c r="F129" s="37">
        <v>1</v>
      </c>
      <c r="G129" s="65"/>
      <c r="H129" s="37"/>
      <c r="I129" s="37"/>
      <c r="J129" s="652"/>
      <c r="K129" s="245"/>
    </row>
    <row r="130" spans="1:11" ht="25.5">
      <c r="B130" s="15" t="s">
        <v>137</v>
      </c>
      <c r="C130" s="245" t="str">
        <f>'Costed Impl plan'!C151</f>
        <v>Provide technical support to Human Rights Commission to address HIV related human rights issues</v>
      </c>
      <c r="D130" s="37" t="s">
        <v>93</v>
      </c>
      <c r="E130" s="37">
        <v>1</v>
      </c>
      <c r="F130" s="37">
        <v>1</v>
      </c>
      <c r="G130" s="65">
        <v>1</v>
      </c>
      <c r="H130" s="37">
        <v>1</v>
      </c>
      <c r="I130" s="37">
        <v>1</v>
      </c>
      <c r="J130" s="652">
        <v>1</v>
      </c>
      <c r="K130" s="245"/>
    </row>
    <row r="131" spans="1:11" ht="25.5">
      <c r="B131" s="15" t="s">
        <v>138</v>
      </c>
      <c r="C131" s="245" t="str">
        <f>'Costed Impl plan'!C152</f>
        <v xml:space="preserve">Provide technical support to Faith Based Organisations for advocacy, development of IEC materials and Training </v>
      </c>
      <c r="D131" s="37" t="s">
        <v>93</v>
      </c>
      <c r="E131" s="37">
        <v>1</v>
      </c>
      <c r="F131" s="37">
        <v>1</v>
      </c>
      <c r="G131" s="65">
        <v>1</v>
      </c>
      <c r="H131" s="37">
        <v>1</v>
      </c>
      <c r="I131" s="37">
        <v>1</v>
      </c>
      <c r="J131" s="652">
        <v>1</v>
      </c>
      <c r="K131" s="245"/>
    </row>
    <row r="132" spans="1:11" ht="38.25">
      <c r="B132" s="15" t="s">
        <v>140</v>
      </c>
      <c r="C132" s="245" t="str">
        <f>'Costed Impl plan'!C153</f>
        <v>Provide technical support, advocacy and capacity development to private sector to strengthen workplace responses to HIV</v>
      </c>
      <c r="D132" s="37" t="s">
        <v>93</v>
      </c>
      <c r="E132" s="37">
        <v>1</v>
      </c>
      <c r="F132" s="37">
        <v>1</v>
      </c>
      <c r="G132" s="65">
        <v>1</v>
      </c>
      <c r="H132" s="37">
        <v>1</v>
      </c>
      <c r="I132" s="37">
        <v>1</v>
      </c>
      <c r="J132" s="652">
        <v>1</v>
      </c>
      <c r="K132" s="245"/>
    </row>
    <row r="133" spans="1:11" ht="32.450000000000003" customHeight="1">
      <c r="B133" s="19" t="s">
        <v>142</v>
      </c>
      <c r="C133" s="245" t="str">
        <f>'Costed Impl plan'!C154</f>
        <v>Sensitize and mobilize the involvement of the media in contributing to the HIV response in Bangladesh</v>
      </c>
      <c r="D133" s="37" t="s">
        <v>93</v>
      </c>
      <c r="E133" s="37">
        <v>1</v>
      </c>
      <c r="F133" s="37">
        <v>1</v>
      </c>
      <c r="G133" s="65">
        <v>1</v>
      </c>
      <c r="H133" s="37">
        <v>1</v>
      </c>
      <c r="I133" s="37">
        <v>1</v>
      </c>
      <c r="J133" s="652">
        <v>1</v>
      </c>
      <c r="K133" s="245" t="s">
        <v>243</v>
      </c>
    </row>
    <row r="134" spans="1:11" s="2" customFormat="1" ht="51">
      <c r="A134" s="34"/>
      <c r="B134" s="19" t="s">
        <v>143</v>
      </c>
      <c r="C134" s="245" t="str">
        <f>'Costed Impl plan'!C155</f>
        <v>Translate into Bangla for wide dissemination of the Recommendation concerning HIV and AIDS and the World of Work among government, employers and workers</v>
      </c>
      <c r="D134" s="37" t="s">
        <v>145</v>
      </c>
      <c r="E134" s="37"/>
      <c r="F134" s="37">
        <v>1</v>
      </c>
      <c r="G134" s="112"/>
      <c r="H134" s="37"/>
      <c r="I134" s="37"/>
      <c r="J134" s="652"/>
      <c r="K134" s="245"/>
    </row>
    <row r="135" spans="1:11" s="2" customFormat="1" ht="30" customHeight="1">
      <c r="A135" s="34"/>
      <c r="B135" s="19" t="s">
        <v>146</v>
      </c>
      <c r="C135" s="245" t="str">
        <f>'Costed Impl plan'!C156</f>
        <v xml:space="preserve">Develop posters and leaflets to ensure non-discrimination and promote protection of HIV infected people in recruitment and employment </v>
      </c>
      <c r="D135" s="37" t="s">
        <v>145</v>
      </c>
      <c r="E135" s="37"/>
      <c r="F135" s="37">
        <v>1</v>
      </c>
      <c r="G135" s="112"/>
      <c r="H135" s="37"/>
      <c r="I135" s="37"/>
      <c r="J135" s="652"/>
      <c r="K135" s="245"/>
    </row>
    <row r="136" spans="1:11" s="2" customFormat="1" ht="35.450000000000003" customHeight="1">
      <c r="A136" s="34"/>
      <c r="B136" s="19" t="s">
        <v>148</v>
      </c>
      <c r="C136" s="245" t="str">
        <f>'Costed Impl plan'!C157</f>
        <v xml:space="preserve">Capacity building of employers federation and trade unions on HIV/AIDS </v>
      </c>
      <c r="D136" s="37" t="s">
        <v>150</v>
      </c>
      <c r="E136" s="37">
        <v>10</v>
      </c>
      <c r="F136" s="37">
        <v>10</v>
      </c>
      <c r="G136" s="112">
        <v>10</v>
      </c>
      <c r="H136" s="37">
        <v>10</v>
      </c>
      <c r="I136" s="37">
        <v>10</v>
      </c>
      <c r="J136" s="652">
        <v>10</v>
      </c>
      <c r="K136" s="245"/>
    </row>
    <row r="137" spans="1:11" s="2" customFormat="1" ht="38.25">
      <c r="A137" s="34"/>
      <c r="B137" s="19" t="s">
        <v>151</v>
      </c>
      <c r="C137" s="245" t="str">
        <f>'Costed Impl plan'!C158</f>
        <v xml:space="preserve">Providing support to the Ministry of Labour and Employment in adoption of the national workplace policy on HIV/AIDS </v>
      </c>
      <c r="D137" s="245" t="s">
        <v>153</v>
      </c>
      <c r="E137" s="37">
        <v>4</v>
      </c>
      <c r="F137" s="37">
        <v>4</v>
      </c>
      <c r="G137" s="112">
        <v>4</v>
      </c>
      <c r="H137" s="37">
        <v>4</v>
      </c>
      <c r="I137" s="37">
        <v>4</v>
      </c>
      <c r="J137" s="652">
        <v>4</v>
      </c>
      <c r="K137" s="245"/>
    </row>
    <row r="138" spans="1:11" s="2" customFormat="1" ht="38.25">
      <c r="A138" s="34"/>
      <c r="B138" s="19" t="s">
        <v>154</v>
      </c>
      <c r="C138" s="245" t="str">
        <f>'Costed Impl plan'!C159</f>
        <v xml:space="preserve">Providing support to the Employers Federation and Trade Unions for adoption of the workplace policy on HIV/AIDS by its members </v>
      </c>
      <c r="D138" s="245" t="s">
        <v>18</v>
      </c>
      <c r="E138" s="37">
        <v>2</v>
      </c>
      <c r="F138" s="37">
        <v>2</v>
      </c>
      <c r="G138" s="112">
        <v>2</v>
      </c>
      <c r="H138" s="37">
        <v>2</v>
      </c>
      <c r="I138" s="37">
        <v>2</v>
      </c>
      <c r="J138" s="652">
        <v>2</v>
      </c>
      <c r="K138" s="245"/>
    </row>
    <row r="139" spans="1:11" ht="15.75" customHeight="1">
      <c r="B139" s="658" t="str">
        <f>'Costed Impl plan'!B161:S161</f>
        <v>Strategy 3.6:  Develop human resource capacity across the HIV sector for enhanced response</v>
      </c>
      <c r="C139" s="658"/>
      <c r="D139" s="658"/>
      <c r="E139" s="658"/>
      <c r="F139" s="658"/>
      <c r="G139" s="658"/>
      <c r="H139" s="658"/>
      <c r="I139" s="658"/>
      <c r="J139" s="658"/>
      <c r="K139" s="658"/>
    </row>
    <row r="140" spans="1:11" ht="33.75" customHeight="1">
      <c r="B140" s="15" t="s">
        <v>156</v>
      </c>
      <c r="C140" s="245" t="str">
        <f>'Costed Impl plan'!C162</f>
        <v>Perform functional analysis of human resource needs to implement the national strategy</v>
      </c>
      <c r="D140" s="37" t="s">
        <v>157</v>
      </c>
      <c r="E140" s="37"/>
      <c r="F140" s="37">
        <v>1</v>
      </c>
      <c r="G140" s="65"/>
      <c r="H140" s="37"/>
      <c r="I140" s="37"/>
      <c r="J140" s="647"/>
      <c r="K140" s="245"/>
    </row>
    <row r="141" spans="1:11" ht="22.5" customHeight="1">
      <c r="B141" s="15" t="s">
        <v>158</v>
      </c>
      <c r="C141" s="245" t="str">
        <f>'Costed Impl plan'!C163</f>
        <v xml:space="preserve">Develop core curriculum and training resources </v>
      </c>
      <c r="D141" s="37" t="s">
        <v>40</v>
      </c>
      <c r="E141" s="37"/>
      <c r="F141" s="37">
        <v>1</v>
      </c>
      <c r="G141" s="65"/>
      <c r="H141" s="37"/>
      <c r="I141" s="37"/>
      <c r="J141" s="647"/>
      <c r="K141" s="245"/>
    </row>
    <row r="142" spans="1:11" ht="25.5">
      <c r="B142" s="15" t="s">
        <v>159</v>
      </c>
      <c r="C142" s="245" t="str">
        <f>'Costed Impl plan'!C164</f>
        <v>Develop and implement training plan</v>
      </c>
      <c r="D142" s="37" t="s">
        <v>161</v>
      </c>
      <c r="E142" s="37"/>
      <c r="F142" s="37">
        <v>1</v>
      </c>
      <c r="G142" s="65"/>
      <c r="H142" s="37"/>
      <c r="I142" s="37"/>
      <c r="J142" s="647"/>
      <c r="K142" s="245"/>
    </row>
    <row r="143" spans="1:11" ht="15.75" customHeight="1">
      <c r="B143" s="658" t="str">
        <f>'Costed Impl plan'!B166:S166</f>
        <v>Strategy 3.7:  Strengthen the health system response to HIV</v>
      </c>
      <c r="C143" s="658"/>
      <c r="D143" s="658"/>
      <c r="E143" s="658"/>
      <c r="F143" s="658"/>
      <c r="G143" s="658"/>
      <c r="H143" s="658"/>
      <c r="I143" s="658"/>
      <c r="J143" s="658"/>
      <c r="K143" s="658"/>
    </row>
    <row r="144" spans="1:11" ht="25.5">
      <c r="B144" s="15" t="s">
        <v>162</v>
      </c>
      <c r="C144" s="245" t="str">
        <f>'Costed Impl plan'!$C$167</f>
        <v>Integrate HIV training into capacity development of the health system</v>
      </c>
      <c r="D144" s="37"/>
      <c r="E144" s="37"/>
      <c r="F144" s="37"/>
      <c r="G144" s="65"/>
      <c r="H144" s="37"/>
      <c r="I144" s="37"/>
      <c r="J144" s="647"/>
      <c r="K144" s="245"/>
    </row>
    <row r="145" spans="1:11" ht="43.15" customHeight="1">
      <c r="B145" s="588" t="s">
        <v>164</v>
      </c>
      <c r="C145" s="245" t="str">
        <f>'Costed Impl plan'!C168</f>
        <v>Provide training to address HIV specific needs for laboratory and other areas identifed through program human resources functional analysis</v>
      </c>
      <c r="D145" s="37"/>
      <c r="E145" s="37"/>
      <c r="F145" s="37"/>
      <c r="G145" s="65"/>
      <c r="H145" s="37"/>
      <c r="I145" s="37"/>
      <c r="J145" s="647"/>
      <c r="K145" s="245"/>
    </row>
    <row r="146" spans="1:11" ht="24" customHeight="1">
      <c r="B146" s="245" t="s">
        <v>166</v>
      </c>
      <c r="C146" s="245" t="str">
        <f>'Costed Impl plan'!C169</f>
        <v>Develop protocol and training materials - 4 identified areas</v>
      </c>
      <c r="D146" s="37" t="s">
        <v>40</v>
      </c>
      <c r="E146" s="37"/>
      <c r="F146" s="37"/>
      <c r="G146" s="65"/>
      <c r="H146" s="37"/>
      <c r="I146" s="37"/>
      <c r="J146" s="647"/>
      <c r="K146" s="245" t="s">
        <v>1121</v>
      </c>
    </row>
    <row r="147" spans="1:11" ht="18.600000000000001" customHeight="1">
      <c r="B147" s="245" t="s">
        <v>168</v>
      </c>
      <c r="C147" s="588" t="str">
        <f>'Costed Impl plan'!C170</f>
        <v>Conduct training</v>
      </c>
      <c r="D147" s="37" t="s">
        <v>4</v>
      </c>
      <c r="E147" s="480">
        <v>500</v>
      </c>
      <c r="F147" s="480">
        <v>1500</v>
      </c>
      <c r="G147" s="496">
        <v>1500</v>
      </c>
      <c r="H147" s="480">
        <v>2000</v>
      </c>
      <c r="I147" s="480">
        <v>500</v>
      </c>
      <c r="J147" s="480">
        <v>500</v>
      </c>
      <c r="K147" s="339"/>
    </row>
    <row r="148" spans="1:11" ht="38.25">
      <c r="B148" s="588" t="s">
        <v>170</v>
      </c>
      <c r="C148" s="245" t="str">
        <f>'Costed Impl plan'!C171</f>
        <v>Identify and ensure access to training in specialisations identified through human resource functional analysis - out country</v>
      </c>
      <c r="D148" s="37" t="s">
        <v>4</v>
      </c>
      <c r="E148" s="37">
        <v>10</v>
      </c>
      <c r="F148" s="37">
        <v>10</v>
      </c>
      <c r="G148" s="65">
        <v>10</v>
      </c>
      <c r="H148" s="37">
        <v>10</v>
      </c>
      <c r="I148" s="37">
        <v>10</v>
      </c>
      <c r="J148" s="652">
        <v>10</v>
      </c>
      <c r="K148" s="245"/>
    </row>
    <row r="149" spans="1:11" ht="25.5">
      <c r="B149" s="588" t="s">
        <v>172</v>
      </c>
      <c r="C149" s="245" t="str">
        <f>'Costed Impl plan'!C172</f>
        <v>Ensure access to training for staff of paediatric HIV services</v>
      </c>
      <c r="D149" s="37" t="s">
        <v>4</v>
      </c>
      <c r="E149" s="37">
        <v>8</v>
      </c>
      <c r="F149" s="37">
        <v>8</v>
      </c>
      <c r="G149" s="65">
        <v>8</v>
      </c>
      <c r="H149" s="37">
        <v>8</v>
      </c>
      <c r="I149" s="37">
        <v>8</v>
      </c>
      <c r="J149" s="652">
        <v>8</v>
      </c>
      <c r="K149" s="245"/>
    </row>
    <row r="150" spans="1:11" s="2" customFormat="1" ht="28.9" customHeight="1">
      <c r="A150" s="34"/>
      <c r="B150" s="23" t="s">
        <v>174</v>
      </c>
      <c r="C150" s="586" t="str">
        <f>'Costed Impl plan'!C173</f>
        <v>Integrate basic HIV education into training for all health staff - training of master trainers</v>
      </c>
      <c r="D150" s="37" t="s">
        <v>4</v>
      </c>
      <c r="E150" s="37">
        <v>200</v>
      </c>
      <c r="F150" s="37">
        <v>200</v>
      </c>
      <c r="G150" s="112">
        <v>200</v>
      </c>
      <c r="H150" s="37">
        <v>200</v>
      </c>
      <c r="I150" s="37">
        <v>200</v>
      </c>
      <c r="J150" s="652">
        <v>200</v>
      </c>
      <c r="K150" s="245"/>
    </row>
    <row r="151" spans="1:11" ht="45.6" customHeight="1">
      <c r="B151" s="592" t="s">
        <v>176</v>
      </c>
      <c r="C151" s="588" t="str">
        <f>'Costed Impl plan'!C174</f>
        <v>Ensure systems for drug and essential commodity supplies to minimise the risk of supply interruption and/or sub standard quality.</v>
      </c>
      <c r="D151" s="37"/>
      <c r="E151" s="37"/>
      <c r="F151" s="37"/>
      <c r="G151" s="65"/>
      <c r="H151" s="37"/>
      <c r="I151" s="37"/>
      <c r="J151" s="647"/>
      <c r="K151" s="245"/>
    </row>
    <row r="152" spans="1:11" ht="32.450000000000003" customHeight="1">
      <c r="B152" s="23" t="s">
        <v>177</v>
      </c>
      <c r="C152" s="245" t="str">
        <f>'Costed Impl plan'!C175</f>
        <v>Provide technical support for ensuring regulatory frameworks mitigate risk (linked with 3.7.1.1)</v>
      </c>
      <c r="D152" s="37"/>
      <c r="E152" s="37"/>
      <c r="F152" s="37"/>
      <c r="G152" s="65"/>
      <c r="H152" s="37"/>
      <c r="I152" s="37"/>
      <c r="J152" s="647"/>
      <c r="K152" s="245"/>
    </row>
    <row r="153" spans="1:11" ht="26.45" customHeight="1">
      <c r="B153" s="23" t="s">
        <v>179</v>
      </c>
      <c r="C153" s="245" t="str">
        <f>'Costed Impl plan'!C176</f>
        <v>Technical support will be provided for:(linked with 3.7.1.1)</v>
      </c>
      <c r="D153" s="37"/>
      <c r="E153" s="37"/>
      <c r="F153" s="37"/>
      <c r="G153" s="65"/>
      <c r="H153" s="37"/>
      <c r="I153" s="37"/>
      <c r="J153" s="647"/>
      <c r="K153" s="245"/>
    </row>
    <row r="154" spans="1:11" ht="38.25">
      <c r="B154" s="245" t="s">
        <v>267</v>
      </c>
      <c r="C154" s="31" t="str">
        <f>'Costed Impl plan'!C177</f>
        <v>Reviewing the infrastructure for procurement, storage and distribution of essential drugs and other commodities (e.g. condoms/lubricant, reagents for HIV testing)</v>
      </c>
      <c r="D154" s="37"/>
      <c r="E154" s="37"/>
      <c r="F154" s="37"/>
      <c r="G154" s="65"/>
      <c r="H154" s="37"/>
      <c r="I154" s="37"/>
      <c r="J154" s="647"/>
      <c r="K154" s="245"/>
    </row>
    <row r="155" spans="1:11" ht="25.5">
      <c r="B155" s="245" t="s">
        <v>268</v>
      </c>
      <c r="C155" s="31" t="str">
        <f>'Costed Impl plan'!C178</f>
        <v>Ensuring comprehensive protocols and procedures have been and are being developed</v>
      </c>
      <c r="D155" s="37"/>
      <c r="E155" s="37"/>
      <c r="F155" s="37"/>
      <c r="G155" s="65"/>
      <c r="H155" s="37"/>
      <c r="I155" s="37"/>
      <c r="J155" s="647"/>
      <c r="K155" s="245"/>
    </row>
    <row r="156" spans="1:11" ht="25.5">
      <c r="B156" s="245" t="s">
        <v>269</v>
      </c>
      <c r="C156" s="31" t="str">
        <f>'Costed Impl plan'!C179</f>
        <v>Improving management systems and human resource capacity</v>
      </c>
      <c r="D156" s="37"/>
      <c r="E156" s="37"/>
      <c r="F156" s="37"/>
      <c r="G156" s="65"/>
      <c r="H156" s="37"/>
      <c r="I156" s="37"/>
      <c r="J156" s="647"/>
      <c r="K156" s="245"/>
    </row>
    <row r="157" spans="1:11" ht="20.45" customHeight="1">
      <c r="B157" s="592" t="s">
        <v>181</v>
      </c>
      <c r="C157" s="588" t="str">
        <f>'Costed Impl plan'!C180</f>
        <v xml:space="preserve">Strengthen laboratory capacity to meet HIV needs. </v>
      </c>
      <c r="D157" s="37"/>
      <c r="E157" s="37"/>
      <c r="F157" s="37"/>
      <c r="G157" s="65"/>
      <c r="H157" s="37"/>
      <c r="I157" s="37"/>
      <c r="J157" s="647"/>
      <c r="K157" s="245"/>
    </row>
    <row r="158" spans="1:11" ht="31.5" customHeight="1">
      <c r="B158" s="23" t="s">
        <v>182</v>
      </c>
      <c r="C158" s="588" t="str">
        <f>'Costed Impl plan'!C181</f>
        <v>Undertake laboratory needs assessment (linked with 3.7.1.1)</v>
      </c>
      <c r="D158" s="37"/>
      <c r="E158" s="37"/>
      <c r="F158" s="37"/>
      <c r="G158" s="65"/>
      <c r="H158" s="37"/>
      <c r="I158" s="37"/>
      <c r="J158" s="647"/>
      <c r="K158" s="245"/>
    </row>
    <row r="159" spans="1:11" ht="27" customHeight="1">
      <c r="B159" s="23" t="s">
        <v>184</v>
      </c>
      <c r="C159" s="588" t="str">
        <f>'Costed Impl plan'!C182</f>
        <v>Develop protocol/guidelines for provision of laboratory services (linked with 3.7.1.1)</v>
      </c>
      <c r="D159" s="37"/>
      <c r="E159" s="37"/>
      <c r="F159" s="37"/>
      <c r="G159" s="65"/>
      <c r="H159" s="37"/>
      <c r="I159" s="37"/>
      <c r="J159" s="647"/>
      <c r="K159" s="245"/>
    </row>
    <row r="160" spans="1:11" ht="37.15" customHeight="1">
      <c r="B160" s="23" t="s">
        <v>186</v>
      </c>
      <c r="C160" s="586" t="str">
        <f>'Costed Impl plan'!C183</f>
        <v>Ensure appropriate equipment is available (districts / medical college hospital)</v>
      </c>
      <c r="D160" s="37" t="s">
        <v>188</v>
      </c>
      <c r="E160" s="37">
        <f>E56</f>
        <v>12</v>
      </c>
      <c r="F160" s="593">
        <f t="shared" ref="F160:J160" si="36">F56</f>
        <v>10</v>
      </c>
      <c r="G160" s="593">
        <f t="shared" si="36"/>
        <v>10</v>
      </c>
      <c r="H160" s="593">
        <f t="shared" si="36"/>
        <v>0</v>
      </c>
      <c r="I160" s="593">
        <f t="shared" si="36"/>
        <v>0</v>
      </c>
      <c r="J160" s="652">
        <f t="shared" si="36"/>
        <v>0</v>
      </c>
      <c r="K160" s="245" t="s">
        <v>1104</v>
      </c>
    </row>
    <row r="161" spans="2:11" ht="63.75">
      <c r="B161" s="592" t="s">
        <v>189</v>
      </c>
      <c r="C161" s="588" t="str">
        <f>'Costed Impl plan'!C184</f>
        <v>Develop linkages with related service areas - Integrate capacity to develop policies, procedures, protocols for shared care and refferal into management training of HIV program management staff (e.g. DIC managers, consortium management staff)</v>
      </c>
      <c r="D161" s="37"/>
      <c r="E161" s="37"/>
      <c r="F161" s="37"/>
      <c r="G161" s="65"/>
      <c r="H161" s="37"/>
      <c r="I161" s="37"/>
      <c r="J161" s="647"/>
      <c r="K161" s="245"/>
    </row>
    <row r="162" spans="2:11" ht="29.45" customHeight="1">
      <c r="B162" s="23" t="s">
        <v>1105</v>
      </c>
      <c r="C162" s="245" t="str">
        <f>'Costed Impl plan'!C185</f>
        <v>Development and production of referral kits</v>
      </c>
      <c r="D162" s="37" t="s">
        <v>192</v>
      </c>
      <c r="E162" s="37">
        <v>1</v>
      </c>
      <c r="F162" s="37"/>
      <c r="G162" s="65"/>
      <c r="H162" s="37"/>
      <c r="I162" s="37"/>
      <c r="J162" s="647"/>
      <c r="K162" s="245" t="s">
        <v>315</v>
      </c>
    </row>
    <row r="163" spans="2:11" ht="31.5" customHeight="1">
      <c r="B163" s="23" t="s">
        <v>1106</v>
      </c>
      <c r="C163" s="245" t="str">
        <f>'Costed Impl plan'!C186</f>
        <v>Conduct training for referral network development</v>
      </c>
      <c r="D163" s="37" t="s">
        <v>4</v>
      </c>
      <c r="E163" s="37">
        <f>23*20</f>
        <v>460</v>
      </c>
      <c r="F163" s="593">
        <f t="shared" ref="F163:J163" si="37">23*20</f>
        <v>460</v>
      </c>
      <c r="G163" s="593">
        <f t="shared" si="37"/>
        <v>460</v>
      </c>
      <c r="H163" s="593">
        <f t="shared" si="37"/>
        <v>460</v>
      </c>
      <c r="I163" s="593">
        <f t="shared" si="37"/>
        <v>460</v>
      </c>
      <c r="J163" s="652">
        <f t="shared" si="37"/>
        <v>460</v>
      </c>
      <c r="K163" s="245" t="s">
        <v>1107</v>
      </c>
    </row>
    <row r="164" spans="2:11" ht="15.75" customHeight="1">
      <c r="B164" s="658" t="str">
        <f>'Costed Impl plan'!B188:S188</f>
        <v>Strategy 3.8: Strengthen the community system response to HIV</v>
      </c>
      <c r="C164" s="658"/>
      <c r="D164" s="658"/>
      <c r="E164" s="658"/>
      <c r="F164" s="658"/>
      <c r="G164" s="658"/>
      <c r="H164" s="658"/>
      <c r="I164" s="658"/>
      <c r="J164" s="658"/>
      <c r="K164" s="658"/>
    </row>
    <row r="165" spans="2:11" ht="38.25" customHeight="1">
      <c r="B165" s="15" t="s">
        <v>194</v>
      </c>
      <c r="C165" s="245" t="str">
        <f>'Costed Impl plan'!C189</f>
        <v>Strengthen role of community based organisations (CBOs) in building an enabling environment</v>
      </c>
      <c r="D165" s="37"/>
      <c r="E165" s="343"/>
      <c r="F165" s="37"/>
      <c r="G165" s="37"/>
      <c r="H165" s="37"/>
      <c r="I165" s="37"/>
      <c r="J165" s="647"/>
      <c r="K165" s="245"/>
    </row>
    <row r="166" spans="2:11" ht="36" customHeight="1">
      <c r="B166" s="23" t="s">
        <v>195</v>
      </c>
      <c r="C166" s="245" t="str">
        <f>'Costed Impl plan'!C190</f>
        <v>Provide training for CBOs on policy development and advocacy.</v>
      </c>
      <c r="D166" s="37" t="s">
        <v>4</v>
      </c>
      <c r="E166" s="37">
        <v>100</v>
      </c>
      <c r="F166" s="37">
        <v>100</v>
      </c>
      <c r="G166" s="65">
        <v>100</v>
      </c>
      <c r="H166" s="37">
        <v>100</v>
      </c>
      <c r="I166" s="37">
        <v>100</v>
      </c>
      <c r="J166" s="652">
        <v>100</v>
      </c>
      <c r="K166" s="245"/>
    </row>
    <row r="167" spans="2:11" ht="31.9" customHeight="1">
      <c r="B167" s="23" t="s">
        <v>196</v>
      </c>
      <c r="C167" s="245" t="str">
        <f>'Costed Impl plan'!C191</f>
        <v xml:space="preserve">Support mentoring / technical assistance for CBOs and network organisations </v>
      </c>
      <c r="D167" s="37" t="s">
        <v>197</v>
      </c>
      <c r="E167" s="37">
        <v>5</v>
      </c>
      <c r="F167" s="37">
        <v>5</v>
      </c>
      <c r="G167" s="65">
        <v>5</v>
      </c>
      <c r="H167" s="37">
        <v>5</v>
      </c>
      <c r="I167" s="37">
        <v>5</v>
      </c>
      <c r="J167" s="652">
        <v>5</v>
      </c>
      <c r="K167" s="245"/>
    </row>
    <row r="168" spans="2:11" ht="25.5">
      <c r="B168" s="15" t="s">
        <v>198</v>
      </c>
      <c r="C168" s="245" t="str">
        <f>'Costed Impl plan'!C192</f>
        <v>Strengthen linkages between CBOs through cross learning visits</v>
      </c>
      <c r="D168" s="37" t="s">
        <v>71</v>
      </c>
      <c r="E168" s="37">
        <v>10</v>
      </c>
      <c r="F168" s="37">
        <v>10</v>
      </c>
      <c r="G168" s="65">
        <v>10</v>
      </c>
      <c r="H168" s="37">
        <v>10</v>
      </c>
      <c r="I168" s="37">
        <v>10</v>
      </c>
      <c r="J168" s="652">
        <v>10</v>
      </c>
      <c r="K168" s="245"/>
    </row>
    <row r="169" spans="2:11">
      <c r="B169" s="15" t="s">
        <v>199</v>
      </c>
      <c r="C169" s="245" t="str">
        <f>'Costed Impl plan'!C193</f>
        <v xml:space="preserve">Build sustainability of community system involvement </v>
      </c>
      <c r="D169" s="37"/>
      <c r="E169" s="37"/>
      <c r="F169" s="37"/>
      <c r="G169" s="65"/>
      <c r="H169" s="37"/>
      <c r="I169" s="37"/>
      <c r="J169" s="652"/>
      <c r="K169" s="245"/>
    </row>
    <row r="170" spans="2:11" ht="38.25">
      <c r="B170" s="23" t="s">
        <v>201</v>
      </c>
      <c r="C170" s="245" t="str">
        <f>'Costed Impl plan'!C194</f>
        <v>Provide financial support for core infrastructure of  CBOs to contribute to resource mobilisation and representation functions</v>
      </c>
      <c r="D170" s="37" t="s">
        <v>102</v>
      </c>
      <c r="E170" s="37">
        <v>100</v>
      </c>
      <c r="F170" s="37">
        <v>100</v>
      </c>
      <c r="G170" s="65">
        <v>100</v>
      </c>
      <c r="H170" s="37">
        <v>100</v>
      </c>
      <c r="I170" s="37">
        <v>100</v>
      </c>
      <c r="J170" s="652">
        <v>100</v>
      </c>
      <c r="K170" s="245"/>
    </row>
    <row r="171" spans="2:11" ht="21" customHeight="1">
      <c r="B171" s="23" t="s">
        <v>203</v>
      </c>
      <c r="C171" s="245" t="str">
        <f>'Costed Impl plan'!C195</f>
        <v>Provide management training for CBOs</v>
      </c>
      <c r="D171" s="37" t="s">
        <v>4</v>
      </c>
      <c r="E171" s="37">
        <v>100</v>
      </c>
      <c r="F171" s="37">
        <v>100</v>
      </c>
      <c r="G171" s="65">
        <v>100</v>
      </c>
      <c r="H171" s="37">
        <v>100</v>
      </c>
      <c r="I171" s="37">
        <v>100</v>
      </c>
      <c r="J171" s="652">
        <v>100</v>
      </c>
      <c r="K171" s="245"/>
    </row>
    <row r="172" spans="2:11" ht="25.9" customHeight="1">
      <c r="B172" s="15" t="s">
        <v>204</v>
      </c>
      <c r="C172" s="245" t="str">
        <f>'Costed Impl plan'!C196</f>
        <v>Provide M&amp;E training for CBOs</v>
      </c>
      <c r="D172" s="37" t="s">
        <v>4</v>
      </c>
      <c r="E172" s="37">
        <v>100</v>
      </c>
      <c r="F172" s="37">
        <v>100</v>
      </c>
      <c r="G172" s="65">
        <v>100</v>
      </c>
      <c r="H172" s="37">
        <v>100</v>
      </c>
      <c r="I172" s="37">
        <v>100</v>
      </c>
      <c r="J172" s="652">
        <v>100</v>
      </c>
      <c r="K172" s="245"/>
    </row>
    <row r="173" spans="2:11" ht="21.6" customHeight="1">
      <c r="B173" s="23" t="s">
        <v>249</v>
      </c>
      <c r="C173" s="245" t="str">
        <f>'Costed Impl plan'!C197</f>
        <v>Provide leadership and accountability training for CBOs</v>
      </c>
      <c r="D173" s="37" t="s">
        <v>4</v>
      </c>
      <c r="E173" s="37">
        <v>100</v>
      </c>
      <c r="F173" s="37">
        <v>100</v>
      </c>
      <c r="G173" s="65">
        <v>100</v>
      </c>
      <c r="H173" s="37">
        <v>100</v>
      </c>
      <c r="I173" s="37">
        <v>100</v>
      </c>
      <c r="J173" s="652">
        <v>100</v>
      </c>
      <c r="K173" s="245"/>
    </row>
    <row r="174" spans="2:11" ht="19.899999999999999" customHeight="1">
      <c r="B174" s="23" t="s">
        <v>250</v>
      </c>
      <c r="C174" s="245" t="str">
        <f>'Costed Impl plan'!C198</f>
        <v>Develop standards for governance and management</v>
      </c>
      <c r="D174" s="37" t="s">
        <v>285</v>
      </c>
      <c r="E174" s="37">
        <v>1</v>
      </c>
      <c r="F174" s="37">
        <v>0</v>
      </c>
      <c r="G174" s="65">
        <v>0</v>
      </c>
      <c r="H174" s="37">
        <v>1</v>
      </c>
      <c r="I174" s="37">
        <v>0</v>
      </c>
      <c r="J174" s="652">
        <v>0</v>
      </c>
      <c r="K174" s="245"/>
    </row>
    <row r="175" spans="2:11" ht="33.75" customHeight="1">
      <c r="B175" s="23" t="s">
        <v>251</v>
      </c>
      <c r="C175" s="245" t="str">
        <f>'Costed Impl plan'!C199</f>
        <v>Develop and use management capacity assessment tools</v>
      </c>
      <c r="D175" s="37" t="s">
        <v>10</v>
      </c>
      <c r="E175" s="37">
        <v>1</v>
      </c>
      <c r="F175" s="37">
        <v>0</v>
      </c>
      <c r="G175" s="65">
        <v>0</v>
      </c>
      <c r="H175" s="37">
        <v>1</v>
      </c>
      <c r="I175" s="37">
        <v>0</v>
      </c>
      <c r="J175" s="652">
        <v>0</v>
      </c>
      <c r="K175" s="245"/>
    </row>
    <row r="176" spans="2:11" ht="30" customHeight="1">
      <c r="B176" s="671" t="str">
        <f>'Costed Impl plan'!B202:S202</f>
        <v>Program objective 4: To strengthen strategic information systems and research for an evidence based response</v>
      </c>
      <c r="C176" s="672"/>
      <c r="D176" s="672"/>
      <c r="E176" s="672"/>
      <c r="F176" s="672"/>
      <c r="G176" s="672"/>
      <c r="H176" s="672"/>
      <c r="I176" s="672"/>
      <c r="J176" s="672"/>
      <c r="K176" s="673"/>
    </row>
    <row r="177" spans="2:11" ht="15" customHeight="1">
      <c r="B177" s="679" t="s">
        <v>0</v>
      </c>
      <c r="C177" s="679" t="s">
        <v>1</v>
      </c>
      <c r="D177" s="679" t="s">
        <v>2</v>
      </c>
      <c r="E177" s="677"/>
      <c r="F177" s="677"/>
      <c r="G177" s="677"/>
      <c r="H177" s="678"/>
      <c r="I177" s="479"/>
      <c r="J177" s="479"/>
      <c r="K177" s="679" t="s">
        <v>236</v>
      </c>
    </row>
    <row r="178" spans="2:11" ht="39.75" customHeight="1">
      <c r="B178" s="680"/>
      <c r="C178" s="680"/>
      <c r="D178" s="680"/>
      <c r="E178" s="344">
        <f>E6</f>
        <v>2018</v>
      </c>
      <c r="F178" s="344">
        <f t="shared" ref="F178:J178" si="38">F6</f>
        <v>2019</v>
      </c>
      <c r="G178" s="344">
        <f t="shared" si="38"/>
        <v>2020</v>
      </c>
      <c r="H178" s="344">
        <f t="shared" si="38"/>
        <v>2021</v>
      </c>
      <c r="I178" s="344">
        <f t="shared" si="38"/>
        <v>2022</v>
      </c>
      <c r="J178" s="344">
        <f t="shared" si="38"/>
        <v>2023</v>
      </c>
      <c r="K178" s="680"/>
    </row>
    <row r="179" spans="2:11" ht="15" customHeight="1">
      <c r="B179" s="674" t="str">
        <f>'Costed Impl plan'!B205:S205</f>
        <v>Strategy 4.1: Conduct comprehensive surveillance to strengthen the capacity to respond</v>
      </c>
      <c r="C179" s="675"/>
      <c r="D179" s="675"/>
      <c r="E179" s="675"/>
      <c r="F179" s="675"/>
      <c r="G179" s="675"/>
      <c r="H179" s="675"/>
      <c r="I179" s="675"/>
      <c r="J179" s="675"/>
      <c r="K179" s="676"/>
    </row>
    <row r="180" spans="2:11" ht="55.5" customHeight="1">
      <c r="B180" s="15" t="s">
        <v>49</v>
      </c>
      <c r="C180" s="245" t="str">
        <f>'Costed Impl plan'!C206</f>
        <v>Enhanced system for case reporting of HIV</v>
      </c>
      <c r="D180" s="37" t="s">
        <v>50</v>
      </c>
      <c r="E180" s="37">
        <v>1</v>
      </c>
      <c r="F180" s="37">
        <v>1</v>
      </c>
      <c r="G180" s="65">
        <v>1</v>
      </c>
      <c r="H180" s="37">
        <v>1</v>
      </c>
      <c r="I180" s="37">
        <v>1</v>
      </c>
      <c r="J180" s="652">
        <v>1</v>
      </c>
      <c r="K180" s="245" t="s">
        <v>272</v>
      </c>
    </row>
    <row r="181" spans="2:11" s="35" customFormat="1" ht="29.45" customHeight="1">
      <c r="B181" s="15" t="s">
        <v>51</v>
      </c>
      <c r="C181" s="494" t="str">
        <f>'Costed Impl plan'!C207</f>
        <v xml:space="preserve">Conduct regular serological and behavioural surveillance of all key populations </v>
      </c>
      <c r="D181" s="37"/>
      <c r="E181" s="37"/>
      <c r="F181" s="37"/>
      <c r="G181" s="65"/>
      <c r="H181" s="37"/>
      <c r="I181" s="37"/>
      <c r="J181" s="652"/>
      <c r="K181" s="494"/>
    </row>
    <row r="182" spans="2:11" s="35" customFormat="1" ht="45.75" customHeight="1">
      <c r="B182" s="15" t="s">
        <v>1021</v>
      </c>
      <c r="C182" s="494" t="str">
        <f>'Costed Impl plan'!C208</f>
        <v xml:space="preserve">Conduct regular serological surveillance of all key populations </v>
      </c>
      <c r="D182" s="37"/>
      <c r="E182" s="37">
        <v>1</v>
      </c>
      <c r="F182" s="37"/>
      <c r="G182" s="65">
        <v>1</v>
      </c>
      <c r="H182" s="37"/>
      <c r="I182" s="37">
        <v>1</v>
      </c>
      <c r="J182" s="652">
        <v>1</v>
      </c>
      <c r="K182" s="494"/>
    </row>
    <row r="183" spans="2:11" s="35" customFormat="1" ht="45.75" customHeight="1">
      <c r="B183" s="15" t="s">
        <v>1023</v>
      </c>
      <c r="C183" s="494" t="str">
        <f>'Costed Impl plan'!C209</f>
        <v>Conduct regular behavioural surveillance of all key populations with IBBS in some places</v>
      </c>
      <c r="D183" s="37"/>
      <c r="E183" s="37"/>
      <c r="F183" s="37">
        <v>1</v>
      </c>
      <c r="G183" s="65"/>
      <c r="H183" s="37"/>
      <c r="I183" s="37">
        <v>1</v>
      </c>
      <c r="J183" s="652">
        <v>1</v>
      </c>
      <c r="K183" s="494" t="s">
        <v>1122</v>
      </c>
    </row>
    <row r="184" spans="2:11" ht="21" customHeight="1">
      <c r="B184" s="15" t="s">
        <v>52</v>
      </c>
      <c r="C184" s="245" t="str">
        <f>'Costed Impl plan'!C210</f>
        <v>Establish sentinel STI surveillance</v>
      </c>
      <c r="D184" s="37" t="s">
        <v>24</v>
      </c>
      <c r="E184" s="37">
        <v>1</v>
      </c>
      <c r="F184" s="37"/>
      <c r="G184" s="65"/>
      <c r="H184" s="37"/>
      <c r="I184" s="37"/>
      <c r="J184" s="652"/>
      <c r="K184" s="245"/>
    </row>
    <row r="185" spans="2:11" ht="21.75" customHeight="1">
      <c r="B185" s="15" t="s">
        <v>293</v>
      </c>
      <c r="C185" s="245" t="str">
        <f>'Costed Impl plan'!C211</f>
        <v>Conduct size estimation studies</v>
      </c>
      <c r="D185" s="37" t="s">
        <v>24</v>
      </c>
      <c r="E185" s="37"/>
      <c r="F185" s="37">
        <v>1</v>
      </c>
      <c r="G185" s="65"/>
      <c r="H185" s="37"/>
      <c r="I185" s="37"/>
      <c r="J185" s="652"/>
      <c r="K185" s="245"/>
    </row>
    <row r="186" spans="2:11" s="35" customFormat="1" ht="21.75" customHeight="1">
      <c r="B186" s="15" t="s">
        <v>975</v>
      </c>
      <c r="C186" s="404" t="str">
        <f>'Costed Impl plan'!C212</f>
        <v xml:space="preserve">Conduct HIV Drug resistance Surveillance </v>
      </c>
      <c r="D186" s="37" t="s">
        <v>24</v>
      </c>
      <c r="E186" s="37"/>
      <c r="F186" s="37"/>
      <c r="G186" s="65">
        <v>1</v>
      </c>
      <c r="H186" s="37"/>
      <c r="I186" s="37"/>
      <c r="J186" s="652"/>
      <c r="K186" s="404"/>
    </row>
    <row r="187" spans="2:11" ht="15.75" customHeight="1">
      <c r="B187" s="670" t="str">
        <f>'Costed Impl plan'!B214:S214</f>
        <v>Strategy 4.2: Conduct relevant research to inform the national strategic response</v>
      </c>
      <c r="C187" s="670"/>
      <c r="D187" s="670"/>
      <c r="E187" s="670"/>
      <c r="F187" s="670"/>
      <c r="G187" s="670"/>
      <c r="H187" s="670"/>
      <c r="I187" s="670"/>
      <c r="J187" s="670"/>
      <c r="K187" s="670"/>
    </row>
    <row r="188" spans="2:11" ht="34.15" customHeight="1">
      <c r="B188" s="15" t="s">
        <v>54</v>
      </c>
      <c r="C188" s="245" t="str">
        <f>'Costed Impl plan'!C215</f>
        <v>Conduct studies based on emerging needs</v>
      </c>
      <c r="D188" s="37" t="s">
        <v>24</v>
      </c>
      <c r="E188" s="37"/>
      <c r="F188" s="37">
        <v>1</v>
      </c>
      <c r="G188" s="65"/>
      <c r="H188" s="37">
        <v>1</v>
      </c>
      <c r="I188" s="37"/>
      <c r="J188" s="647"/>
      <c r="K188" s="245" t="s">
        <v>1112</v>
      </c>
    </row>
    <row r="189" spans="2:11" ht="41.45" customHeight="1">
      <c r="B189" s="15" t="s">
        <v>56</v>
      </c>
      <c r="C189" s="245" t="str">
        <f>'Costed Impl plan'!C216</f>
        <v>Serological survey (HIV and Syphilis) at ANC and STI service sites in selected distrcits (PLHIV populated)</v>
      </c>
      <c r="D189" s="37" t="s">
        <v>24</v>
      </c>
      <c r="E189" s="37"/>
      <c r="F189" s="37">
        <v>1</v>
      </c>
      <c r="G189" s="65"/>
      <c r="H189" s="37"/>
      <c r="I189" s="37"/>
      <c r="J189" s="647"/>
      <c r="K189" s="245" t="s">
        <v>1111</v>
      </c>
    </row>
    <row r="190" spans="2:11" s="35" customFormat="1" ht="24" customHeight="1">
      <c r="B190" s="592" t="s">
        <v>329</v>
      </c>
      <c r="C190" s="588" t="str">
        <f>'Costed Impl plan'!C217</f>
        <v>Conduct Stigma Index Study</v>
      </c>
      <c r="D190" s="593" t="s">
        <v>24</v>
      </c>
      <c r="E190" s="593"/>
      <c r="F190" s="593"/>
      <c r="G190" s="65"/>
      <c r="H190" s="593">
        <v>1</v>
      </c>
      <c r="I190" s="593"/>
      <c r="J190" s="647"/>
      <c r="K190" s="588"/>
    </row>
    <row r="191" spans="2:11" ht="38.25">
      <c r="B191" s="15" t="s">
        <v>1113</v>
      </c>
      <c r="C191" s="245" t="str">
        <f>'Costed Impl plan'!C218</f>
        <v xml:space="preserve">Conduct national workshop to prioritize as well as  review existing  research /operations research /studies; develop annual national agenda for research </v>
      </c>
      <c r="D191" s="37" t="s">
        <v>18</v>
      </c>
      <c r="E191" s="37">
        <v>1</v>
      </c>
      <c r="F191" s="37"/>
      <c r="G191" s="65">
        <v>1</v>
      </c>
      <c r="H191" s="37"/>
      <c r="I191" s="37">
        <v>1</v>
      </c>
      <c r="J191" s="652">
        <v>1</v>
      </c>
      <c r="K191" s="245"/>
    </row>
    <row r="192" spans="2:11" ht="15.75" customHeight="1">
      <c r="B192" s="670" t="str">
        <f>'Costed Impl plan'!B220:S220</f>
        <v xml:space="preserve">Strategy 4.3: Strengthen monitoring and evaluation </v>
      </c>
      <c r="C192" s="670"/>
      <c r="D192" s="670"/>
      <c r="E192" s="670"/>
      <c r="F192" s="670"/>
      <c r="G192" s="670"/>
      <c r="H192" s="670"/>
      <c r="I192" s="670"/>
      <c r="J192" s="670"/>
      <c r="K192" s="670"/>
    </row>
    <row r="193" spans="2:11" ht="32.25" customHeight="1">
      <c r="B193" s="15" t="s">
        <v>59</v>
      </c>
      <c r="C193" s="245" t="str">
        <f>'Costed Impl plan'!C221</f>
        <v>Conduct mid-term and end-term evaluations</v>
      </c>
      <c r="D193" s="37" t="s">
        <v>24</v>
      </c>
      <c r="E193" s="37"/>
      <c r="F193" s="37"/>
      <c r="G193" s="65">
        <v>1</v>
      </c>
      <c r="H193" s="37"/>
      <c r="I193" s="37">
        <v>1</v>
      </c>
      <c r="J193" s="652">
        <v>1</v>
      </c>
      <c r="K193" s="245"/>
    </row>
    <row r="194" spans="2:11" ht="33.75" customHeight="1">
      <c r="B194" s="15" t="s">
        <v>60</v>
      </c>
      <c r="C194" s="245" t="str">
        <f>'Costed Impl plan'!C222</f>
        <v xml:space="preserve">Produce guidelines and tools </v>
      </c>
      <c r="D194" s="37" t="s">
        <v>40</v>
      </c>
      <c r="E194" s="37">
        <v>1</v>
      </c>
      <c r="F194" s="37">
        <v>1</v>
      </c>
      <c r="G194" s="65">
        <v>1</v>
      </c>
      <c r="H194" s="37">
        <v>1</v>
      </c>
      <c r="I194" s="37">
        <v>1</v>
      </c>
      <c r="J194" s="652">
        <v>1</v>
      </c>
      <c r="K194" s="245" t="s">
        <v>1123</v>
      </c>
    </row>
    <row r="195" spans="2:11" ht="28.5" customHeight="1">
      <c r="B195" s="15" t="s">
        <v>63</v>
      </c>
      <c r="C195" s="245" t="str">
        <f>'Costed Impl plan'!C223</f>
        <v xml:space="preserve">Conduct quarterly M&amp;E TWG and coordination meetings </v>
      </c>
      <c r="D195" s="37" t="s">
        <v>18</v>
      </c>
      <c r="E195" s="37">
        <v>4</v>
      </c>
      <c r="F195" s="37">
        <v>4</v>
      </c>
      <c r="G195" s="65">
        <v>4</v>
      </c>
      <c r="H195" s="37">
        <v>4</v>
      </c>
      <c r="I195" s="37">
        <v>4</v>
      </c>
      <c r="J195" s="652">
        <v>4</v>
      </c>
      <c r="K195" s="245"/>
    </row>
    <row r="196" spans="2:11" ht="32.25" customHeight="1">
      <c r="B196" s="15" t="s">
        <v>64</v>
      </c>
      <c r="C196" s="245" t="str">
        <f>'Costed Impl plan'!C224</f>
        <v xml:space="preserve">Periodic review and updating of the M&amp;E system and its indicators in a participatory manner </v>
      </c>
      <c r="D196" s="37" t="s">
        <v>44</v>
      </c>
      <c r="E196" s="37">
        <v>1</v>
      </c>
      <c r="F196" s="37"/>
      <c r="G196" s="65"/>
      <c r="H196" s="37"/>
      <c r="I196" s="37">
        <v>1</v>
      </c>
      <c r="J196" s="652">
        <v>1</v>
      </c>
      <c r="K196" s="245"/>
    </row>
    <row r="197" spans="2:11" ht="44.25" customHeight="1">
      <c r="B197" s="15" t="s">
        <v>65</v>
      </c>
      <c r="C197" s="245" t="str">
        <f>'Costed Impl plan'!C225</f>
        <v xml:space="preserve">Advocacy and follow up meeting with the stakeholders  to ensure regular reporting as well as providing feedback </v>
      </c>
      <c r="D197" s="37" t="s">
        <v>18</v>
      </c>
      <c r="E197" s="37">
        <v>4</v>
      </c>
      <c r="F197" s="37">
        <v>4</v>
      </c>
      <c r="G197" s="65">
        <v>4</v>
      </c>
      <c r="H197" s="37">
        <v>4</v>
      </c>
      <c r="I197" s="37">
        <v>4</v>
      </c>
      <c r="J197" s="652">
        <v>4</v>
      </c>
      <c r="K197" s="245"/>
    </row>
    <row r="198" spans="2:11">
      <c r="B198" s="15" t="s">
        <v>66</v>
      </c>
      <c r="C198" s="245" t="str">
        <f>'Costed Impl plan'!C226</f>
        <v xml:space="preserve">M&amp;E training for staff across the sector </v>
      </c>
      <c r="D198" s="37" t="s">
        <v>4</v>
      </c>
      <c r="E198" s="37">
        <v>150</v>
      </c>
      <c r="F198" s="37"/>
      <c r="G198" s="65">
        <v>150</v>
      </c>
      <c r="H198" s="37"/>
      <c r="I198" s="37">
        <v>150</v>
      </c>
      <c r="J198" s="652">
        <v>150</v>
      </c>
      <c r="K198" s="245"/>
    </row>
    <row r="199" spans="2:11" ht="30.75" customHeight="1">
      <c r="B199" s="15" t="s">
        <v>67</v>
      </c>
      <c r="C199" s="245" t="str">
        <f>'Costed Impl plan'!C227</f>
        <v xml:space="preserve">Print and dissemination of National AIDS M&amp;E plan </v>
      </c>
      <c r="D199" s="37" t="s">
        <v>62</v>
      </c>
      <c r="E199" s="37">
        <v>1</v>
      </c>
      <c r="F199" s="37"/>
      <c r="G199" s="65"/>
      <c r="H199" s="37"/>
      <c r="I199" s="37">
        <v>1</v>
      </c>
      <c r="J199" s="652">
        <v>1</v>
      </c>
      <c r="K199" s="245"/>
    </row>
    <row r="200" spans="2:11" ht="24" customHeight="1">
      <c r="B200" s="15" t="s">
        <v>68</v>
      </c>
      <c r="C200" s="641" t="str">
        <f>'Costed Impl plan'!C228</f>
        <v>Conduct regular M&amp;E visits to assess quality (third party monitoring may be considered)</v>
      </c>
      <c r="D200" s="37" t="s">
        <v>71</v>
      </c>
      <c r="E200" s="37">
        <v>8</v>
      </c>
      <c r="F200" s="37">
        <v>8</v>
      </c>
      <c r="G200" s="65">
        <v>8</v>
      </c>
      <c r="H200" s="37">
        <v>8</v>
      </c>
      <c r="I200" s="37">
        <v>8</v>
      </c>
      <c r="J200" s="652">
        <v>8</v>
      </c>
      <c r="K200" s="245"/>
    </row>
    <row r="201" spans="2:11" ht="31.5" customHeight="1">
      <c r="B201" s="15" t="s">
        <v>69</v>
      </c>
      <c r="C201" s="245" t="str">
        <f>'Costed Impl plan'!C229</f>
        <v xml:space="preserve">Develop, print and disseminate UNGASS/GARPR report every year </v>
      </c>
      <c r="D201" s="37" t="s">
        <v>62</v>
      </c>
      <c r="E201" s="37">
        <v>1</v>
      </c>
      <c r="F201" s="37">
        <v>1</v>
      </c>
      <c r="G201" s="65">
        <v>1</v>
      </c>
      <c r="H201" s="37">
        <v>1</v>
      </c>
      <c r="I201" s="37">
        <v>1</v>
      </c>
      <c r="J201" s="652">
        <v>1</v>
      </c>
      <c r="K201" s="245"/>
    </row>
    <row r="202" spans="2:11" ht="32.25" customHeight="1">
      <c r="B202" s="15" t="s">
        <v>70</v>
      </c>
      <c r="C202" s="245" t="str">
        <f>'Costed Impl plan'!C230</f>
        <v>Conduct evaluation of design and effectiveness of current targeted interventions</v>
      </c>
      <c r="D202" s="37" t="s">
        <v>24</v>
      </c>
      <c r="E202" s="37"/>
      <c r="F202" s="37">
        <v>1</v>
      </c>
      <c r="G202" s="65"/>
      <c r="H202" s="37">
        <v>1</v>
      </c>
      <c r="I202" s="37"/>
      <c r="J202" s="647"/>
      <c r="K202" s="245" t="s">
        <v>1026</v>
      </c>
    </row>
    <row r="203" spans="2:11" ht="15.75" customHeight="1">
      <c r="B203" s="670" t="str">
        <f>'Costed Impl plan'!B232:S232</f>
        <v>Strategy 4.4: Improve systems for knowledge management</v>
      </c>
      <c r="C203" s="670"/>
      <c r="D203" s="670"/>
      <c r="E203" s="670"/>
      <c r="F203" s="670"/>
      <c r="G203" s="670"/>
      <c r="H203" s="670"/>
      <c r="I203" s="670"/>
      <c r="J203" s="670"/>
      <c r="K203" s="670"/>
    </row>
    <row r="204" spans="2:11" ht="22.5" customHeight="1">
      <c r="B204" s="15" t="s">
        <v>330</v>
      </c>
      <c r="C204" s="245" t="str">
        <f>'Costed Impl plan'!C233</f>
        <v>Implement HIV Mangement Information system</v>
      </c>
      <c r="D204" s="37"/>
      <c r="E204" s="37"/>
      <c r="F204" s="37"/>
      <c r="G204" s="65"/>
      <c r="H204" s="37"/>
      <c r="I204" s="37"/>
      <c r="J204" s="647"/>
      <c r="K204" s="245"/>
    </row>
    <row r="205" spans="2:11" ht="27" customHeight="1">
      <c r="B205" s="23" t="s">
        <v>331</v>
      </c>
      <c r="C205" s="245" t="str">
        <f>'Costed Impl plan'!C234</f>
        <v>Development/update and installation of software</v>
      </c>
      <c r="D205" s="37" t="s">
        <v>40</v>
      </c>
      <c r="E205" s="37"/>
      <c r="F205" s="37">
        <v>1</v>
      </c>
      <c r="G205" s="65"/>
      <c r="H205" s="37"/>
      <c r="I205" s="37"/>
      <c r="J205" s="647"/>
      <c r="K205" s="245"/>
    </row>
    <row r="206" spans="2:11" ht="20.45" customHeight="1">
      <c r="B206" s="23" t="s">
        <v>332</v>
      </c>
      <c r="C206" s="245" t="str">
        <f>'Costed Impl plan'!C235</f>
        <v>Maintain HIV Management Information System</v>
      </c>
      <c r="D206" s="37" t="s">
        <v>62</v>
      </c>
      <c r="E206" s="37">
        <v>1</v>
      </c>
      <c r="F206" s="37">
        <v>1</v>
      </c>
      <c r="G206" s="65">
        <v>1</v>
      </c>
      <c r="H206" s="37">
        <v>1</v>
      </c>
      <c r="I206" s="37">
        <v>1</v>
      </c>
      <c r="J206" s="652">
        <v>1</v>
      </c>
      <c r="K206" s="245"/>
    </row>
    <row r="207" spans="2:11" ht="22.5" customHeight="1">
      <c r="B207" s="15" t="s">
        <v>73</v>
      </c>
      <c r="C207" s="245" t="str">
        <f>'Costed Impl plan'!C236</f>
        <v>Establish HIV reporting and maintain PLHIV database</v>
      </c>
      <c r="D207" s="37" t="s">
        <v>40</v>
      </c>
      <c r="E207" s="37">
        <v>1</v>
      </c>
      <c r="F207" s="37">
        <v>1</v>
      </c>
      <c r="G207" s="65">
        <v>1</v>
      </c>
      <c r="H207" s="37">
        <v>1</v>
      </c>
      <c r="I207" s="37">
        <v>1</v>
      </c>
      <c r="J207" s="652">
        <v>1</v>
      </c>
      <c r="K207" s="26"/>
    </row>
    <row r="208" spans="2:11" ht="25.5">
      <c r="B208" s="15" t="s">
        <v>74</v>
      </c>
      <c r="C208" s="245" t="str">
        <f>'Costed Impl plan'!C237</f>
        <v>Number of times per year HIV web based site for dissemination of HIV strategic information is updated</v>
      </c>
      <c r="D208" s="37" t="s">
        <v>62</v>
      </c>
      <c r="E208" s="37">
        <v>4</v>
      </c>
      <c r="F208" s="37">
        <v>4</v>
      </c>
      <c r="G208" s="65">
        <v>4</v>
      </c>
      <c r="H208" s="37">
        <v>4</v>
      </c>
      <c r="I208" s="37">
        <v>4</v>
      </c>
      <c r="J208" s="652">
        <v>4</v>
      </c>
      <c r="K208" s="245"/>
    </row>
    <row r="209" spans="2:11" ht="25.15" customHeight="1">
      <c r="B209" s="15" t="s">
        <v>75</v>
      </c>
      <c r="C209" s="245" t="str">
        <f>'Costed Impl plan'!C238</f>
        <v>Development of inventory of all relevant resources</v>
      </c>
      <c r="D209" s="37" t="s">
        <v>40</v>
      </c>
      <c r="E209" s="37"/>
      <c r="F209" s="37">
        <v>1</v>
      </c>
      <c r="G209" s="65"/>
      <c r="H209" s="37"/>
      <c r="I209" s="37"/>
      <c r="J209" s="652"/>
      <c r="K209" s="245"/>
    </row>
    <row r="210" spans="2:11" ht="28.9" customHeight="1">
      <c r="B210" s="15" t="s">
        <v>78</v>
      </c>
      <c r="C210" s="245" t="str">
        <f>'Costed Impl plan'!C239</f>
        <v xml:space="preserve">Conduct National AIDS spending Survey (NASA), share  and use the findings accordingly </v>
      </c>
      <c r="D210" s="37" t="s">
        <v>24</v>
      </c>
      <c r="E210" s="37">
        <v>1</v>
      </c>
      <c r="F210" s="37"/>
      <c r="G210" s="65"/>
      <c r="H210" s="37"/>
      <c r="I210" s="37">
        <v>1</v>
      </c>
      <c r="J210" s="652">
        <v>1</v>
      </c>
      <c r="K210" s="245"/>
    </row>
    <row r="211" spans="2:11" ht="44.45" customHeight="1">
      <c r="B211" s="15" t="s">
        <v>80</v>
      </c>
      <c r="C211" s="245" t="str">
        <f>'Costed Impl plan'!C240</f>
        <v xml:space="preserve">Commission  secondary analysis,of data  triangulation  based on BSS and BDHS data and disseminate the findings </v>
      </c>
      <c r="D211" s="37" t="s">
        <v>24</v>
      </c>
      <c r="E211" s="37">
        <v>1</v>
      </c>
      <c r="F211" s="37">
        <v>1</v>
      </c>
      <c r="G211" s="65">
        <v>1</v>
      </c>
      <c r="H211" s="37">
        <v>1</v>
      </c>
      <c r="I211" s="37">
        <v>1</v>
      </c>
      <c r="J211" s="652">
        <v>1</v>
      </c>
      <c r="K211" s="245" t="s">
        <v>1028</v>
      </c>
    </row>
    <row r="212" spans="2:11" ht="38.25">
      <c r="B212" s="15" t="s">
        <v>81</v>
      </c>
      <c r="C212" s="245" t="str">
        <f>'Costed Impl plan'!C241</f>
        <v xml:space="preserve">Prepare evidence based policy and program briefs </v>
      </c>
      <c r="D212" s="37" t="s">
        <v>62</v>
      </c>
      <c r="E212" s="37">
        <v>1</v>
      </c>
      <c r="F212" s="37">
        <v>1</v>
      </c>
      <c r="G212" s="65">
        <v>1</v>
      </c>
      <c r="H212" s="37">
        <v>1</v>
      </c>
      <c r="I212" s="37">
        <v>1</v>
      </c>
      <c r="J212" s="652">
        <v>1</v>
      </c>
      <c r="K212" s="245" t="s">
        <v>1027</v>
      </c>
    </row>
    <row r="213" spans="2:11" ht="20.45" customHeight="1">
      <c r="B213" s="15" t="s">
        <v>82</v>
      </c>
      <c r="C213" s="245" t="str">
        <f>'Costed Impl plan'!C242</f>
        <v>Conduct 6-monthly dissemination workshops</v>
      </c>
      <c r="D213" s="37" t="s">
        <v>18</v>
      </c>
      <c r="E213" s="37">
        <v>2</v>
      </c>
      <c r="F213" s="37">
        <v>2</v>
      </c>
      <c r="G213" s="65">
        <v>2</v>
      </c>
      <c r="H213" s="37">
        <v>2</v>
      </c>
      <c r="I213" s="37">
        <v>2</v>
      </c>
      <c r="J213" s="652">
        <v>2</v>
      </c>
      <c r="K213" s="245"/>
    </row>
    <row r="222" spans="2:11" s="1" customFormat="1" ht="15.75">
      <c r="B222" s="21"/>
      <c r="C222" s="12"/>
      <c r="D222" s="12"/>
      <c r="E222" s="11"/>
      <c r="F222" s="4"/>
      <c r="G222" s="4"/>
      <c r="H222" s="4"/>
      <c r="I222" s="4"/>
      <c r="J222" s="4"/>
      <c r="K222" s="30"/>
    </row>
    <row r="223" spans="2:11" s="1" customFormat="1" ht="15.75">
      <c r="B223" s="21"/>
      <c r="C223" s="12"/>
      <c r="D223" s="12"/>
      <c r="E223" s="11"/>
      <c r="F223" s="4"/>
      <c r="G223" s="4"/>
      <c r="H223" s="4"/>
      <c r="I223" s="4"/>
      <c r="J223" s="4"/>
      <c r="K223" s="30"/>
    </row>
    <row r="224" spans="2:11" s="1" customFormat="1" ht="15.75">
      <c r="B224" s="21"/>
      <c r="C224" s="12"/>
      <c r="D224" s="12"/>
      <c r="E224" s="11"/>
      <c r="F224" s="4"/>
      <c r="G224" s="4"/>
      <c r="H224" s="4"/>
      <c r="I224" s="4"/>
      <c r="J224" s="4"/>
      <c r="K224" s="30"/>
    </row>
    <row r="225" spans="2:11" s="1" customFormat="1" ht="15.75">
      <c r="B225" s="21"/>
      <c r="C225" s="12"/>
      <c r="D225" s="12"/>
      <c r="E225" s="11"/>
      <c r="F225" s="4"/>
      <c r="G225" s="4"/>
      <c r="H225" s="4"/>
      <c r="I225" s="4"/>
      <c r="J225" s="4"/>
      <c r="K225" s="30"/>
    </row>
    <row r="226" spans="2:11" s="1" customFormat="1" ht="15.75">
      <c r="B226" s="21"/>
      <c r="C226" s="12"/>
      <c r="D226" s="12"/>
      <c r="E226" s="11"/>
      <c r="F226" s="4"/>
      <c r="G226" s="4"/>
      <c r="H226" s="4"/>
      <c r="I226" s="4"/>
      <c r="J226" s="4"/>
      <c r="K226" s="30"/>
    </row>
    <row r="227" spans="2:11" s="1" customFormat="1" ht="15.75">
      <c r="B227" s="21"/>
      <c r="C227" s="12"/>
      <c r="D227" s="12"/>
      <c r="E227" s="11"/>
      <c r="F227" s="4"/>
      <c r="G227" s="4"/>
      <c r="H227" s="4"/>
      <c r="I227" s="4"/>
      <c r="J227" s="4"/>
      <c r="K227" s="30"/>
    </row>
    <row r="228" spans="2:11" s="1" customFormat="1" ht="15.75">
      <c r="B228" s="21"/>
      <c r="C228" s="12"/>
      <c r="D228" s="12"/>
      <c r="E228" s="11"/>
      <c r="F228" s="4"/>
      <c r="G228" s="4"/>
      <c r="H228" s="4"/>
      <c r="I228" s="4"/>
      <c r="J228" s="4"/>
      <c r="K228" s="30"/>
    </row>
    <row r="229" spans="2:11" s="1" customFormat="1" ht="15.75">
      <c r="B229" s="21"/>
      <c r="C229" s="12"/>
      <c r="D229" s="12"/>
      <c r="E229" s="11"/>
      <c r="F229" s="4"/>
      <c r="G229" s="4"/>
      <c r="H229" s="4"/>
      <c r="I229" s="4"/>
      <c r="J229" s="4"/>
      <c r="K229" s="30"/>
    </row>
    <row r="230" spans="2:11" s="1" customFormat="1" ht="15.75">
      <c r="B230" s="21"/>
      <c r="C230" s="12"/>
      <c r="D230" s="12"/>
      <c r="E230" s="11"/>
      <c r="F230" s="4"/>
      <c r="G230" s="4"/>
      <c r="H230" s="4"/>
      <c r="I230" s="4"/>
      <c r="J230" s="4"/>
      <c r="K230" s="30"/>
    </row>
    <row r="231" spans="2:11" s="1" customFormat="1" ht="15.75">
      <c r="B231" s="21"/>
      <c r="C231" s="12"/>
      <c r="D231" s="12"/>
      <c r="E231" s="11"/>
      <c r="F231" s="4"/>
      <c r="G231" s="4"/>
      <c r="H231" s="4"/>
      <c r="I231" s="4"/>
      <c r="J231" s="4"/>
      <c r="K231" s="30"/>
    </row>
    <row r="232" spans="2:11" s="1" customFormat="1" ht="15.75">
      <c r="B232" s="21"/>
      <c r="C232" s="12"/>
      <c r="D232" s="12"/>
      <c r="E232" s="11"/>
      <c r="F232" s="4"/>
      <c r="G232" s="4"/>
      <c r="H232" s="4"/>
      <c r="I232" s="4"/>
      <c r="J232" s="4"/>
      <c r="K232" s="30"/>
    </row>
    <row r="233" spans="2:11" s="1" customFormat="1" ht="15.75">
      <c r="B233" s="21"/>
      <c r="C233" s="12"/>
      <c r="D233" s="12"/>
      <c r="E233" s="11"/>
      <c r="F233" s="4"/>
      <c r="G233" s="4"/>
      <c r="H233" s="4"/>
      <c r="I233" s="4"/>
      <c r="J233" s="4"/>
      <c r="K233" s="30"/>
    </row>
    <row r="234" spans="2:11" s="1" customFormat="1" ht="15.75">
      <c r="B234" s="21"/>
      <c r="C234" s="12"/>
      <c r="D234" s="12"/>
      <c r="E234" s="11"/>
      <c r="F234" s="4"/>
      <c r="G234" s="4"/>
      <c r="H234" s="4"/>
      <c r="I234" s="4"/>
      <c r="J234" s="4"/>
      <c r="K234" s="30"/>
    </row>
    <row r="235" spans="2:11" s="1" customFormat="1" ht="15.75">
      <c r="B235" s="21"/>
      <c r="C235" s="12"/>
      <c r="D235" s="12"/>
      <c r="E235" s="11"/>
      <c r="F235" s="4"/>
      <c r="G235" s="4"/>
      <c r="H235" s="4"/>
      <c r="I235" s="4"/>
      <c r="J235" s="4"/>
      <c r="K235" s="30"/>
    </row>
    <row r="236" spans="2:11" s="1" customFormat="1" ht="15.75">
      <c r="B236" s="21"/>
      <c r="C236" s="12"/>
      <c r="D236" s="12"/>
      <c r="E236" s="11"/>
      <c r="F236" s="4"/>
      <c r="G236" s="4"/>
      <c r="H236" s="4"/>
      <c r="I236" s="4"/>
      <c r="J236" s="4"/>
      <c r="K236" s="30"/>
    </row>
    <row r="237" spans="2:11" s="1" customFormat="1" ht="15.75">
      <c r="B237" s="21"/>
      <c r="C237" s="12"/>
      <c r="D237" s="12"/>
      <c r="E237" s="11"/>
      <c r="F237" s="4"/>
      <c r="G237" s="4"/>
      <c r="H237" s="4"/>
      <c r="I237" s="4"/>
      <c r="J237" s="4"/>
      <c r="K237" s="30"/>
    </row>
    <row r="238" spans="2:11" s="1" customFormat="1" ht="15.75">
      <c r="B238" s="21"/>
      <c r="C238" s="12"/>
      <c r="D238" s="12"/>
      <c r="E238" s="11"/>
      <c r="F238" s="4"/>
      <c r="G238" s="4"/>
      <c r="H238" s="4"/>
      <c r="I238" s="4"/>
      <c r="J238" s="4"/>
      <c r="K238" s="30"/>
    </row>
    <row r="239" spans="2:11" s="1" customFormat="1" ht="15.75">
      <c r="B239" s="21"/>
      <c r="C239" s="12"/>
      <c r="D239" s="12"/>
      <c r="E239" s="11"/>
      <c r="F239" s="4"/>
      <c r="G239" s="4"/>
      <c r="H239" s="4"/>
      <c r="I239" s="4"/>
      <c r="J239" s="4"/>
      <c r="K239" s="30"/>
    </row>
    <row r="240" spans="2:11" s="1" customFormat="1" ht="15.75">
      <c r="B240" s="21"/>
      <c r="C240" s="12"/>
      <c r="D240" s="12"/>
      <c r="E240" s="11"/>
      <c r="F240" s="4"/>
      <c r="G240" s="4"/>
      <c r="H240" s="4"/>
      <c r="I240" s="4"/>
      <c r="J240" s="4"/>
      <c r="K240" s="30"/>
    </row>
    <row r="241" spans="2:11" s="1" customFormat="1" ht="15.75">
      <c r="B241" s="21"/>
      <c r="C241" s="12"/>
      <c r="D241" s="12"/>
      <c r="E241" s="11"/>
      <c r="F241" s="4"/>
      <c r="G241" s="4"/>
      <c r="H241" s="4"/>
      <c r="I241" s="4"/>
      <c r="J241" s="4"/>
      <c r="K241" s="30"/>
    </row>
    <row r="242" spans="2:11" s="1" customFormat="1" ht="15.75">
      <c r="B242" s="21"/>
      <c r="C242" s="12"/>
      <c r="D242" s="12"/>
      <c r="E242" s="11"/>
      <c r="F242" s="4"/>
      <c r="G242" s="4"/>
      <c r="H242" s="4"/>
      <c r="I242" s="4"/>
      <c r="J242" s="4"/>
      <c r="K242" s="30"/>
    </row>
    <row r="243" spans="2:11" s="1" customFormat="1" ht="15.75">
      <c r="B243" s="21"/>
      <c r="C243" s="12"/>
      <c r="D243" s="12"/>
      <c r="E243" s="11"/>
      <c r="F243" s="4"/>
      <c r="G243" s="4"/>
      <c r="H243" s="4"/>
      <c r="I243" s="4"/>
      <c r="J243" s="4"/>
      <c r="K243" s="30"/>
    </row>
    <row r="244" spans="2:11" s="1" customFormat="1" ht="15.75">
      <c r="B244" s="21"/>
      <c r="C244" s="12"/>
      <c r="D244" s="12"/>
      <c r="E244" s="11"/>
      <c r="F244" s="4"/>
      <c r="G244" s="4"/>
      <c r="H244" s="4"/>
      <c r="I244" s="4"/>
      <c r="J244" s="4"/>
      <c r="K244" s="30"/>
    </row>
    <row r="245" spans="2:11" s="1" customFormat="1" ht="15.75">
      <c r="B245" s="21"/>
      <c r="C245" s="12"/>
      <c r="D245" s="12"/>
      <c r="E245" s="11"/>
      <c r="F245" s="4"/>
      <c r="G245" s="4"/>
      <c r="H245" s="4"/>
      <c r="I245" s="4"/>
      <c r="J245" s="4"/>
      <c r="K245" s="30"/>
    </row>
    <row r="246" spans="2:11" s="1" customFormat="1" ht="15.75">
      <c r="B246" s="21"/>
      <c r="C246" s="12"/>
      <c r="D246" s="12"/>
      <c r="E246" s="11"/>
      <c r="F246" s="4"/>
      <c r="G246" s="4"/>
      <c r="H246" s="4"/>
      <c r="I246" s="4"/>
      <c r="J246" s="4"/>
      <c r="K246" s="30"/>
    </row>
    <row r="247" spans="2:11" s="1" customFormat="1" ht="15.75">
      <c r="B247" s="21"/>
      <c r="C247" s="12"/>
      <c r="D247" s="12"/>
      <c r="E247" s="11"/>
      <c r="F247" s="4"/>
      <c r="G247" s="4"/>
      <c r="H247" s="4"/>
      <c r="I247" s="4"/>
      <c r="J247" s="4"/>
      <c r="K247" s="30"/>
    </row>
    <row r="248" spans="2:11" s="1" customFormat="1" ht="15.75">
      <c r="B248" s="21"/>
      <c r="C248" s="12"/>
      <c r="D248" s="12"/>
      <c r="E248" s="11"/>
      <c r="F248" s="4"/>
      <c r="G248" s="4"/>
      <c r="H248" s="4"/>
      <c r="I248" s="4"/>
      <c r="J248" s="4"/>
      <c r="K248" s="30"/>
    </row>
    <row r="249" spans="2:11" s="1" customFormat="1" ht="15.75">
      <c r="B249" s="21"/>
      <c r="C249" s="12"/>
      <c r="D249" s="12"/>
      <c r="E249" s="11"/>
      <c r="F249" s="4"/>
      <c r="G249" s="4"/>
      <c r="H249" s="4"/>
      <c r="I249" s="4"/>
      <c r="J249" s="4"/>
      <c r="K249" s="30"/>
    </row>
    <row r="250" spans="2:11" s="1" customFormat="1" ht="15.75">
      <c r="B250" s="21"/>
      <c r="C250" s="12"/>
      <c r="D250" s="12"/>
      <c r="E250" s="11"/>
      <c r="F250" s="4"/>
      <c r="G250" s="4"/>
      <c r="H250" s="4"/>
      <c r="I250" s="4"/>
      <c r="J250" s="4"/>
      <c r="K250" s="30"/>
    </row>
    <row r="251" spans="2:11" s="1" customFormat="1" ht="15.75">
      <c r="B251" s="21"/>
      <c r="C251" s="12"/>
      <c r="D251" s="12"/>
      <c r="E251" s="11"/>
      <c r="F251" s="4"/>
      <c r="G251" s="4"/>
      <c r="H251" s="4"/>
      <c r="I251" s="4"/>
      <c r="J251" s="4"/>
      <c r="K251" s="30"/>
    </row>
    <row r="252" spans="2:11" s="1" customFormat="1" ht="15.75">
      <c r="B252" s="21"/>
      <c r="C252" s="12"/>
      <c r="D252" s="12"/>
      <c r="E252" s="11"/>
      <c r="F252" s="4"/>
      <c r="G252" s="4"/>
      <c r="H252" s="4"/>
      <c r="I252" s="4"/>
      <c r="J252" s="4"/>
      <c r="K252" s="30"/>
    </row>
    <row r="253" spans="2:11" s="1" customFormat="1" ht="15.75">
      <c r="B253" s="21"/>
      <c r="C253" s="12"/>
      <c r="D253" s="12"/>
      <c r="E253" s="11"/>
      <c r="F253" s="4"/>
      <c r="G253" s="4"/>
      <c r="H253" s="4"/>
      <c r="I253" s="4"/>
      <c r="J253" s="4"/>
      <c r="K253" s="30"/>
    </row>
    <row r="254" spans="2:11" s="1" customFormat="1" ht="15.75">
      <c r="B254" s="21"/>
      <c r="C254" s="12"/>
      <c r="D254" s="12"/>
      <c r="E254" s="11"/>
      <c r="F254" s="4"/>
      <c r="G254" s="4"/>
      <c r="H254" s="4"/>
      <c r="I254" s="4"/>
      <c r="J254" s="4"/>
      <c r="K254" s="30"/>
    </row>
    <row r="255" spans="2:11" s="1" customFormat="1" ht="15.75">
      <c r="B255" s="21"/>
      <c r="C255" s="12"/>
      <c r="D255" s="12"/>
      <c r="E255" s="11"/>
      <c r="F255" s="4"/>
      <c r="G255" s="4"/>
      <c r="H255" s="4"/>
      <c r="I255" s="4"/>
      <c r="J255" s="4"/>
      <c r="K255" s="30"/>
    </row>
    <row r="256" spans="2:11" s="1" customFormat="1" ht="15.75">
      <c r="B256" s="21"/>
      <c r="C256" s="12"/>
      <c r="D256" s="12"/>
      <c r="E256" s="11"/>
      <c r="F256" s="4"/>
      <c r="G256" s="4"/>
      <c r="H256" s="4"/>
      <c r="I256" s="4"/>
      <c r="J256" s="4"/>
      <c r="K256" s="30"/>
    </row>
    <row r="257" spans="2:11" s="1" customFormat="1" ht="15.75">
      <c r="B257" s="21"/>
      <c r="C257" s="12"/>
      <c r="D257" s="12"/>
      <c r="E257" s="11"/>
      <c r="F257" s="4"/>
      <c r="G257" s="4"/>
      <c r="H257" s="4"/>
      <c r="I257" s="4"/>
      <c r="J257" s="4"/>
      <c r="K257" s="30"/>
    </row>
    <row r="258" spans="2:11" s="1" customFormat="1" ht="15.75">
      <c r="B258" s="21"/>
      <c r="C258" s="12"/>
      <c r="D258" s="12"/>
      <c r="E258" s="11"/>
      <c r="F258" s="4"/>
      <c r="G258" s="4"/>
      <c r="H258" s="4"/>
      <c r="I258" s="4"/>
      <c r="J258" s="4"/>
      <c r="K258" s="30"/>
    </row>
    <row r="259" spans="2:11" s="1" customFormat="1" ht="15.75">
      <c r="B259" s="21"/>
      <c r="C259" s="12"/>
      <c r="D259" s="12"/>
      <c r="E259" s="11"/>
      <c r="F259" s="4"/>
      <c r="G259" s="4"/>
      <c r="H259" s="4"/>
      <c r="I259" s="4"/>
      <c r="J259" s="4"/>
      <c r="K259" s="30"/>
    </row>
    <row r="260" spans="2:11" s="1" customFormat="1" ht="15.75">
      <c r="B260" s="21"/>
      <c r="C260" s="12"/>
      <c r="D260" s="12"/>
      <c r="E260" s="11"/>
      <c r="F260" s="4"/>
      <c r="G260" s="4"/>
      <c r="H260" s="4"/>
      <c r="I260" s="4"/>
      <c r="J260" s="4"/>
      <c r="K260" s="30"/>
    </row>
    <row r="261" spans="2:11" s="1" customFormat="1" ht="15.75">
      <c r="B261" s="21"/>
      <c r="C261" s="12"/>
      <c r="D261" s="12"/>
      <c r="E261" s="11"/>
      <c r="F261" s="4"/>
      <c r="G261" s="4"/>
      <c r="H261" s="4"/>
      <c r="I261" s="4"/>
      <c r="J261" s="4"/>
      <c r="K261" s="30"/>
    </row>
    <row r="262" spans="2:11" s="1" customFormat="1" ht="15.75">
      <c r="B262" s="21"/>
      <c r="C262" s="12"/>
      <c r="D262" s="12"/>
      <c r="E262" s="11"/>
      <c r="F262" s="4"/>
      <c r="G262" s="4"/>
      <c r="H262" s="4"/>
      <c r="I262" s="4"/>
      <c r="J262" s="4"/>
      <c r="K262" s="30"/>
    </row>
    <row r="263" spans="2:11" s="1" customFormat="1" ht="15.75">
      <c r="B263" s="21"/>
      <c r="C263" s="12"/>
      <c r="D263" s="12"/>
      <c r="E263" s="11"/>
      <c r="F263" s="4"/>
      <c r="G263" s="4"/>
      <c r="H263" s="4"/>
      <c r="I263" s="4"/>
      <c r="J263" s="4"/>
      <c r="K263" s="30"/>
    </row>
    <row r="264" spans="2:11" s="1" customFormat="1" ht="15.75">
      <c r="B264" s="21"/>
      <c r="C264" s="12"/>
      <c r="D264" s="12"/>
      <c r="E264" s="11"/>
      <c r="F264" s="4"/>
      <c r="G264" s="4"/>
      <c r="H264" s="4"/>
      <c r="I264" s="4"/>
      <c r="J264" s="4"/>
      <c r="K264" s="30"/>
    </row>
    <row r="265" spans="2:11" s="1" customFormat="1" ht="15.75">
      <c r="B265" s="21"/>
      <c r="C265" s="12"/>
      <c r="D265" s="12"/>
      <c r="E265" s="11"/>
      <c r="F265" s="4"/>
      <c r="G265" s="4"/>
      <c r="H265" s="4"/>
      <c r="I265" s="4"/>
      <c r="J265" s="4"/>
      <c r="K265" s="30"/>
    </row>
    <row r="266" spans="2:11" s="1" customFormat="1" ht="15.75">
      <c r="B266" s="21"/>
      <c r="C266" s="12"/>
      <c r="D266" s="12"/>
      <c r="E266" s="11"/>
      <c r="F266" s="4"/>
      <c r="G266" s="4"/>
      <c r="H266" s="4"/>
      <c r="I266" s="4"/>
      <c r="J266" s="4"/>
      <c r="K266" s="30"/>
    </row>
    <row r="267" spans="2:11" s="1" customFormat="1" ht="15.75">
      <c r="B267" s="21"/>
      <c r="C267" s="12"/>
      <c r="D267" s="12"/>
      <c r="E267" s="11"/>
      <c r="F267" s="4"/>
      <c r="G267" s="4"/>
      <c r="H267" s="4"/>
      <c r="I267" s="4"/>
      <c r="J267" s="4"/>
      <c r="K267" s="30"/>
    </row>
    <row r="268" spans="2:11" s="1" customFormat="1" ht="15.75">
      <c r="B268" s="21"/>
      <c r="C268" s="12"/>
      <c r="D268" s="12"/>
      <c r="E268" s="11"/>
      <c r="F268" s="4"/>
      <c r="G268" s="4"/>
      <c r="H268" s="4"/>
      <c r="I268" s="4"/>
      <c r="J268" s="4"/>
      <c r="K268" s="30"/>
    </row>
    <row r="269" spans="2:11" s="1" customFormat="1" ht="15.75">
      <c r="B269" s="21"/>
      <c r="C269" s="12"/>
      <c r="D269" s="12"/>
      <c r="E269" s="11"/>
      <c r="F269" s="4"/>
      <c r="G269" s="4"/>
      <c r="H269" s="4"/>
      <c r="I269" s="4"/>
      <c r="J269" s="4"/>
      <c r="K269" s="30"/>
    </row>
    <row r="270" spans="2:11" s="1" customFormat="1" ht="15.75">
      <c r="B270" s="21"/>
      <c r="C270" s="12"/>
      <c r="D270" s="12"/>
      <c r="E270" s="11"/>
      <c r="F270" s="4"/>
      <c r="G270" s="4"/>
      <c r="H270" s="4"/>
      <c r="I270" s="4"/>
      <c r="J270" s="4"/>
      <c r="K270" s="30"/>
    </row>
    <row r="271" spans="2:11" s="1" customFormat="1" ht="15.75">
      <c r="B271" s="21"/>
      <c r="C271" s="12"/>
      <c r="D271" s="12"/>
      <c r="E271" s="11"/>
      <c r="F271" s="4"/>
      <c r="G271" s="4"/>
      <c r="H271" s="4"/>
      <c r="I271" s="4"/>
      <c r="J271" s="4"/>
      <c r="K271" s="30"/>
    </row>
    <row r="272" spans="2:11" s="1" customFormat="1" ht="15.75">
      <c r="B272" s="21"/>
      <c r="C272" s="12"/>
      <c r="D272" s="12"/>
      <c r="E272" s="11"/>
      <c r="F272" s="4"/>
      <c r="G272" s="4"/>
      <c r="H272" s="4"/>
      <c r="I272" s="4"/>
      <c r="J272" s="4"/>
      <c r="K272" s="30"/>
    </row>
    <row r="273" spans="2:11" s="1" customFormat="1" ht="15.75">
      <c r="B273" s="21"/>
      <c r="C273" s="12"/>
      <c r="D273" s="12"/>
      <c r="E273" s="11"/>
      <c r="F273" s="4"/>
      <c r="G273" s="4"/>
      <c r="H273" s="4"/>
      <c r="I273" s="4"/>
      <c r="J273" s="4"/>
      <c r="K273" s="30"/>
    </row>
    <row r="274" spans="2:11" s="1" customFormat="1" ht="15.75">
      <c r="B274" s="21"/>
      <c r="C274" s="12"/>
      <c r="D274" s="12"/>
      <c r="E274" s="11"/>
      <c r="F274" s="4"/>
      <c r="G274" s="4"/>
      <c r="H274" s="4"/>
      <c r="I274" s="4"/>
      <c r="J274" s="4"/>
      <c r="K274" s="30"/>
    </row>
    <row r="275" spans="2:11" s="1" customFormat="1" ht="15.75">
      <c r="B275" s="21"/>
      <c r="C275" s="12"/>
      <c r="D275" s="12"/>
      <c r="E275" s="11"/>
      <c r="F275" s="4"/>
      <c r="G275" s="4"/>
      <c r="H275" s="4"/>
      <c r="I275" s="4"/>
      <c r="J275" s="4"/>
      <c r="K275" s="30"/>
    </row>
    <row r="276" spans="2:11" s="1" customFormat="1" ht="15.75">
      <c r="B276" s="21"/>
      <c r="C276" s="12"/>
      <c r="D276" s="12"/>
      <c r="E276" s="11"/>
      <c r="F276" s="4"/>
      <c r="G276" s="4"/>
      <c r="H276" s="4"/>
      <c r="I276" s="4"/>
      <c r="J276" s="4"/>
      <c r="K276" s="30"/>
    </row>
    <row r="277" spans="2:11" s="1" customFormat="1" ht="15.75">
      <c r="B277" s="21"/>
      <c r="C277" s="12"/>
      <c r="D277" s="12"/>
      <c r="E277" s="11"/>
      <c r="F277" s="4"/>
      <c r="G277" s="4"/>
      <c r="H277" s="4"/>
      <c r="I277" s="4"/>
      <c r="J277" s="4"/>
      <c r="K277" s="30"/>
    </row>
    <row r="278" spans="2:11" s="1" customFormat="1" ht="15.75">
      <c r="B278" s="21"/>
      <c r="C278" s="12"/>
      <c r="D278" s="12"/>
      <c r="E278" s="11"/>
      <c r="F278" s="4"/>
      <c r="G278" s="4"/>
      <c r="H278" s="4"/>
      <c r="I278" s="4"/>
      <c r="J278" s="4"/>
      <c r="K278" s="30"/>
    </row>
    <row r="279" spans="2:11" s="1" customFormat="1" ht="15.75">
      <c r="B279" s="21"/>
      <c r="C279" s="12"/>
      <c r="D279" s="12"/>
      <c r="E279" s="11"/>
      <c r="F279" s="4"/>
      <c r="G279" s="4"/>
      <c r="H279" s="4"/>
      <c r="I279" s="4"/>
      <c r="J279" s="4"/>
      <c r="K279" s="30"/>
    </row>
    <row r="280" spans="2:11" s="1" customFormat="1" ht="15.75">
      <c r="B280" s="21"/>
      <c r="C280" s="12"/>
      <c r="D280" s="12"/>
      <c r="E280" s="11"/>
      <c r="F280" s="4"/>
      <c r="G280" s="4"/>
      <c r="H280" s="4"/>
      <c r="I280" s="4"/>
      <c r="J280" s="4"/>
      <c r="K280" s="30"/>
    </row>
    <row r="281" spans="2:11" s="1" customFormat="1" ht="15.75">
      <c r="B281" s="21"/>
      <c r="C281" s="12"/>
      <c r="D281" s="12"/>
      <c r="E281" s="11"/>
      <c r="F281" s="4"/>
      <c r="G281" s="4"/>
      <c r="H281" s="4"/>
      <c r="I281" s="4"/>
      <c r="J281" s="4"/>
      <c r="K281" s="30"/>
    </row>
    <row r="282" spans="2:11" s="1" customFormat="1" ht="15.75">
      <c r="B282" s="21"/>
      <c r="C282" s="12"/>
      <c r="D282" s="12"/>
      <c r="E282" s="11"/>
      <c r="F282" s="4"/>
      <c r="G282" s="4"/>
      <c r="H282" s="4"/>
      <c r="I282" s="4"/>
      <c r="J282" s="4"/>
      <c r="K282" s="30"/>
    </row>
    <row r="283" spans="2:11" s="1" customFormat="1" ht="15.75">
      <c r="B283" s="21"/>
      <c r="C283" s="12"/>
      <c r="D283" s="12"/>
      <c r="E283" s="11"/>
      <c r="F283" s="4"/>
      <c r="G283" s="4"/>
      <c r="H283" s="4"/>
      <c r="I283" s="4"/>
      <c r="J283" s="4"/>
      <c r="K283" s="30"/>
    </row>
    <row r="284" spans="2:11" s="1" customFormat="1" ht="15.75">
      <c r="B284" s="21"/>
      <c r="C284" s="12"/>
      <c r="D284" s="12"/>
      <c r="E284" s="11"/>
      <c r="F284" s="4"/>
      <c r="G284" s="4"/>
      <c r="H284" s="4"/>
      <c r="I284" s="4"/>
      <c r="J284" s="4"/>
      <c r="K284" s="30"/>
    </row>
    <row r="285" spans="2:11" s="1" customFormat="1" ht="15.75">
      <c r="B285" s="21"/>
      <c r="C285" s="12"/>
      <c r="D285" s="12"/>
      <c r="E285" s="11"/>
      <c r="F285" s="4"/>
      <c r="G285" s="4"/>
      <c r="H285" s="4"/>
      <c r="I285" s="4"/>
      <c r="J285" s="4"/>
      <c r="K285" s="30"/>
    </row>
    <row r="286" spans="2:11" s="1" customFormat="1" ht="15.75">
      <c r="B286" s="21"/>
      <c r="C286" s="12"/>
      <c r="D286" s="12"/>
      <c r="E286" s="11"/>
      <c r="F286" s="4"/>
      <c r="G286" s="4"/>
      <c r="H286" s="4"/>
      <c r="I286" s="4"/>
      <c r="J286" s="4"/>
      <c r="K286" s="30"/>
    </row>
    <row r="287" spans="2:11" s="1" customFormat="1" ht="15.75">
      <c r="B287" s="21"/>
      <c r="C287" s="12"/>
      <c r="D287" s="12"/>
      <c r="E287" s="11"/>
      <c r="F287" s="4"/>
      <c r="G287" s="4"/>
      <c r="H287" s="4"/>
      <c r="I287" s="4"/>
      <c r="J287" s="4"/>
      <c r="K287" s="30"/>
    </row>
    <row r="288" spans="2:11" s="1" customFormat="1" ht="15.75">
      <c r="B288" s="21"/>
      <c r="C288" s="12"/>
      <c r="D288" s="12"/>
      <c r="E288" s="11"/>
      <c r="F288" s="4"/>
      <c r="G288" s="4"/>
      <c r="H288" s="4"/>
      <c r="I288" s="4"/>
      <c r="J288" s="4"/>
      <c r="K288" s="30"/>
    </row>
    <row r="289" spans="2:11" s="1" customFormat="1" ht="15.75">
      <c r="B289" s="21"/>
      <c r="C289" s="12"/>
      <c r="D289" s="12"/>
      <c r="E289" s="11"/>
      <c r="F289" s="4"/>
      <c r="G289" s="4"/>
      <c r="H289" s="4"/>
      <c r="I289" s="4"/>
      <c r="J289" s="4"/>
      <c r="K289" s="30"/>
    </row>
    <row r="290" spans="2:11" s="1" customFormat="1" ht="15.75">
      <c r="B290" s="21"/>
      <c r="C290" s="12"/>
      <c r="D290" s="12"/>
      <c r="E290" s="11"/>
      <c r="F290" s="4"/>
      <c r="G290" s="4"/>
      <c r="H290" s="4"/>
      <c r="I290" s="4"/>
      <c r="J290" s="4"/>
      <c r="K290" s="30"/>
    </row>
    <row r="291" spans="2:11" s="1" customFormat="1" ht="15.75">
      <c r="B291" s="21"/>
      <c r="C291" s="12"/>
      <c r="D291" s="12"/>
      <c r="E291" s="11"/>
      <c r="F291" s="4"/>
      <c r="G291" s="4"/>
      <c r="H291" s="4"/>
      <c r="I291" s="4"/>
      <c r="J291" s="4"/>
      <c r="K291" s="30"/>
    </row>
    <row r="292" spans="2:11" s="1" customFormat="1" ht="15.75">
      <c r="B292" s="21"/>
      <c r="C292" s="12"/>
      <c r="D292" s="12"/>
      <c r="E292" s="11"/>
      <c r="F292" s="4"/>
      <c r="G292" s="4"/>
      <c r="H292" s="4"/>
      <c r="I292" s="4"/>
      <c r="J292" s="4"/>
      <c r="K292" s="30"/>
    </row>
    <row r="293" spans="2:11" s="1" customFormat="1" ht="15.75">
      <c r="B293" s="21"/>
      <c r="C293" s="12"/>
      <c r="D293" s="12"/>
      <c r="E293" s="11"/>
      <c r="F293" s="4"/>
      <c r="G293" s="4"/>
      <c r="H293" s="4"/>
      <c r="I293" s="4"/>
      <c r="J293" s="4"/>
      <c r="K293" s="30"/>
    </row>
    <row r="294" spans="2:11" s="1" customFormat="1" ht="15.75">
      <c r="B294" s="21"/>
      <c r="C294" s="12"/>
      <c r="D294" s="12"/>
      <c r="E294" s="11"/>
      <c r="F294" s="4"/>
      <c r="G294" s="4"/>
      <c r="H294" s="4"/>
      <c r="I294" s="4"/>
      <c r="J294" s="4"/>
      <c r="K294" s="30"/>
    </row>
    <row r="295" spans="2:11" s="1" customFormat="1" ht="15.75">
      <c r="B295" s="21"/>
      <c r="C295" s="12"/>
      <c r="D295" s="12"/>
      <c r="E295" s="11"/>
      <c r="F295" s="4"/>
      <c r="G295" s="4"/>
      <c r="H295" s="4"/>
      <c r="I295" s="4"/>
      <c r="J295" s="4"/>
      <c r="K295" s="30"/>
    </row>
    <row r="296" spans="2:11" s="1" customFormat="1" ht="15.75">
      <c r="B296" s="21"/>
      <c r="C296" s="12"/>
      <c r="D296" s="12"/>
      <c r="E296" s="11"/>
      <c r="F296" s="4"/>
      <c r="G296" s="4"/>
      <c r="H296" s="4"/>
      <c r="I296" s="4"/>
      <c r="J296" s="4"/>
      <c r="K296" s="30"/>
    </row>
    <row r="297" spans="2:11" s="1" customFormat="1" ht="15.75">
      <c r="B297" s="21"/>
      <c r="C297" s="12"/>
      <c r="D297" s="12"/>
      <c r="E297" s="11"/>
      <c r="F297" s="4"/>
      <c r="G297" s="4"/>
      <c r="H297" s="4"/>
      <c r="I297" s="4"/>
      <c r="J297" s="4"/>
      <c r="K297" s="30"/>
    </row>
    <row r="298" spans="2:11" s="1" customFormat="1" ht="15.75">
      <c r="B298" s="21"/>
      <c r="C298" s="12"/>
      <c r="D298" s="12"/>
      <c r="E298" s="11"/>
      <c r="F298" s="4"/>
      <c r="G298" s="4"/>
      <c r="H298" s="4"/>
      <c r="I298" s="4"/>
      <c r="J298" s="4"/>
      <c r="K298" s="30"/>
    </row>
    <row r="299" spans="2:11" s="1" customFormat="1" ht="15.75">
      <c r="B299" s="21"/>
      <c r="C299" s="12"/>
      <c r="D299" s="12"/>
      <c r="E299" s="11"/>
      <c r="F299" s="4"/>
      <c r="G299" s="4"/>
      <c r="H299" s="4"/>
      <c r="I299" s="4"/>
      <c r="J299" s="4"/>
      <c r="K299" s="30"/>
    </row>
    <row r="300" spans="2:11" s="1" customFormat="1" ht="15.75">
      <c r="B300" s="21"/>
      <c r="C300" s="12"/>
      <c r="D300" s="12"/>
      <c r="E300" s="11"/>
      <c r="F300" s="4"/>
      <c r="G300" s="4"/>
      <c r="H300" s="4"/>
      <c r="I300" s="4"/>
      <c r="J300" s="4"/>
      <c r="K300" s="30"/>
    </row>
    <row r="301" spans="2:11" s="1" customFormat="1" ht="15.75">
      <c r="B301" s="21"/>
      <c r="C301" s="12"/>
      <c r="D301" s="12"/>
      <c r="E301" s="11"/>
      <c r="F301" s="4"/>
      <c r="G301" s="4"/>
      <c r="H301" s="4"/>
      <c r="I301" s="4"/>
      <c r="J301" s="4"/>
      <c r="K301" s="30"/>
    </row>
    <row r="302" spans="2:11" s="1" customFormat="1" ht="15.75">
      <c r="B302" s="21"/>
      <c r="C302" s="12"/>
      <c r="D302" s="12"/>
      <c r="E302" s="11"/>
      <c r="F302" s="4"/>
      <c r="G302" s="4"/>
      <c r="H302" s="4"/>
      <c r="I302" s="4"/>
      <c r="J302" s="4"/>
      <c r="K302" s="30"/>
    </row>
    <row r="303" spans="2:11" s="1" customFormat="1" ht="15.75">
      <c r="B303" s="21"/>
      <c r="C303" s="12"/>
      <c r="D303" s="12"/>
      <c r="E303" s="11"/>
      <c r="F303" s="4"/>
      <c r="G303" s="4"/>
      <c r="H303" s="4"/>
      <c r="I303" s="4"/>
      <c r="J303" s="4"/>
      <c r="K303" s="30"/>
    </row>
    <row r="304" spans="2:11" s="1" customFormat="1" ht="15.75">
      <c r="B304" s="21"/>
      <c r="C304" s="12"/>
      <c r="D304" s="12"/>
      <c r="E304" s="11"/>
      <c r="F304" s="4"/>
      <c r="G304" s="4"/>
      <c r="H304" s="4"/>
      <c r="I304" s="4"/>
      <c r="J304" s="4"/>
      <c r="K304" s="30"/>
    </row>
    <row r="305" spans="2:11" s="1" customFormat="1" ht="15.75">
      <c r="B305" s="21"/>
      <c r="C305" s="12"/>
      <c r="D305" s="12"/>
      <c r="E305" s="11"/>
      <c r="F305" s="4"/>
      <c r="G305" s="4"/>
      <c r="H305" s="4"/>
      <c r="I305" s="4"/>
      <c r="J305" s="4"/>
      <c r="K305" s="30"/>
    </row>
    <row r="306" spans="2:11" s="1" customFormat="1" ht="15.75">
      <c r="B306" s="21"/>
      <c r="C306" s="12"/>
      <c r="D306" s="12"/>
      <c r="E306" s="11"/>
      <c r="F306" s="4"/>
      <c r="G306" s="4"/>
      <c r="H306" s="4"/>
      <c r="I306" s="4"/>
      <c r="J306" s="4"/>
      <c r="K306" s="30"/>
    </row>
    <row r="307" spans="2:11" s="1" customFormat="1" ht="15.75">
      <c r="B307" s="21"/>
      <c r="C307" s="12"/>
      <c r="D307" s="12"/>
      <c r="E307" s="11"/>
      <c r="F307" s="4"/>
      <c r="G307" s="4"/>
      <c r="H307" s="4"/>
      <c r="I307" s="4"/>
      <c r="J307" s="4"/>
      <c r="K307" s="30"/>
    </row>
    <row r="308" spans="2:11" s="1" customFormat="1" ht="15.75">
      <c r="B308" s="21"/>
      <c r="C308" s="12"/>
      <c r="D308" s="12"/>
      <c r="E308" s="11"/>
      <c r="F308" s="4"/>
      <c r="G308" s="4"/>
      <c r="H308" s="4"/>
      <c r="I308" s="4"/>
      <c r="J308" s="4"/>
      <c r="K308" s="30"/>
    </row>
    <row r="309" spans="2:11" s="1" customFormat="1" ht="15.75">
      <c r="B309" s="21"/>
      <c r="C309" s="12"/>
      <c r="D309" s="12"/>
      <c r="E309" s="11"/>
      <c r="F309" s="4"/>
      <c r="G309" s="4"/>
      <c r="H309" s="4"/>
      <c r="I309" s="4"/>
      <c r="J309" s="4"/>
      <c r="K309" s="30"/>
    </row>
    <row r="310" spans="2:11" s="1" customFormat="1" ht="15.75">
      <c r="B310" s="21"/>
      <c r="C310" s="12"/>
      <c r="D310" s="12"/>
      <c r="E310" s="11"/>
      <c r="F310" s="4"/>
      <c r="G310" s="4"/>
      <c r="H310" s="4"/>
      <c r="I310" s="4"/>
      <c r="J310" s="4"/>
      <c r="K310" s="30"/>
    </row>
    <row r="311" spans="2:11" s="1" customFormat="1" ht="15.75">
      <c r="B311" s="21"/>
      <c r="C311" s="12"/>
      <c r="D311" s="12"/>
      <c r="E311" s="11"/>
      <c r="F311" s="4"/>
      <c r="G311" s="4"/>
      <c r="H311" s="4"/>
      <c r="I311" s="4"/>
      <c r="J311" s="4"/>
      <c r="K311" s="30"/>
    </row>
    <row r="312" spans="2:11" s="1" customFormat="1" ht="15.75">
      <c r="B312" s="21"/>
      <c r="C312" s="12"/>
      <c r="D312" s="12"/>
      <c r="E312" s="11"/>
      <c r="F312" s="4"/>
      <c r="G312" s="4"/>
      <c r="H312" s="4"/>
      <c r="I312" s="4"/>
      <c r="J312" s="4"/>
      <c r="K312" s="30"/>
    </row>
    <row r="313" spans="2:11" s="1" customFormat="1" ht="15.75">
      <c r="B313" s="21"/>
      <c r="C313" s="12"/>
      <c r="D313" s="12"/>
      <c r="E313" s="11"/>
      <c r="F313" s="4"/>
      <c r="G313" s="4"/>
      <c r="H313" s="4"/>
      <c r="I313" s="4"/>
      <c r="J313" s="4"/>
      <c r="K313" s="30"/>
    </row>
    <row r="314" spans="2:11" s="1" customFormat="1" ht="15.75">
      <c r="B314" s="21"/>
      <c r="C314" s="12"/>
      <c r="D314" s="12"/>
      <c r="E314" s="11"/>
      <c r="F314" s="4"/>
      <c r="G314" s="4"/>
      <c r="H314" s="4"/>
      <c r="I314" s="4"/>
      <c r="J314" s="4"/>
      <c r="K314" s="30"/>
    </row>
    <row r="315" spans="2:11" s="1" customFormat="1" ht="15.75">
      <c r="B315" s="21"/>
      <c r="C315" s="12"/>
      <c r="D315" s="12"/>
      <c r="E315" s="11"/>
      <c r="F315" s="4"/>
      <c r="G315" s="4"/>
      <c r="H315" s="4"/>
      <c r="I315" s="4"/>
      <c r="J315" s="4"/>
      <c r="K315" s="30"/>
    </row>
    <row r="316" spans="2:11" s="1" customFormat="1" ht="15.75">
      <c r="B316" s="21"/>
      <c r="C316" s="12"/>
      <c r="D316" s="12"/>
      <c r="E316" s="11"/>
      <c r="F316" s="4"/>
      <c r="G316" s="4"/>
      <c r="H316" s="4"/>
      <c r="I316" s="4"/>
      <c r="J316" s="4"/>
      <c r="K316" s="30"/>
    </row>
    <row r="317" spans="2:11" s="1" customFormat="1" ht="15.75">
      <c r="B317" s="21"/>
      <c r="C317" s="12"/>
      <c r="D317" s="12"/>
      <c r="E317" s="11"/>
      <c r="F317" s="4"/>
      <c r="G317" s="4"/>
      <c r="H317" s="4"/>
      <c r="I317" s="4"/>
      <c r="J317" s="4"/>
      <c r="K317" s="30"/>
    </row>
    <row r="318" spans="2:11" s="1" customFormat="1" ht="15.75">
      <c r="B318" s="21"/>
      <c r="C318" s="12"/>
      <c r="D318" s="12"/>
      <c r="E318" s="11"/>
      <c r="F318" s="4"/>
      <c r="G318" s="4"/>
      <c r="H318" s="4"/>
      <c r="I318" s="4"/>
      <c r="J318" s="4"/>
      <c r="K318" s="30"/>
    </row>
    <row r="319" spans="2:11" s="1" customFormat="1" ht="15.75">
      <c r="B319" s="21"/>
      <c r="C319" s="12"/>
      <c r="D319" s="12"/>
      <c r="E319" s="11"/>
      <c r="F319" s="4"/>
      <c r="G319" s="4"/>
      <c r="H319" s="4"/>
      <c r="I319" s="4"/>
      <c r="J319" s="4"/>
      <c r="K319" s="30"/>
    </row>
    <row r="320" spans="2:11" s="1" customFormat="1" ht="15.75">
      <c r="B320" s="21"/>
      <c r="C320" s="12"/>
      <c r="D320" s="12"/>
      <c r="E320" s="11"/>
      <c r="F320" s="4"/>
      <c r="G320" s="4"/>
      <c r="H320" s="4"/>
      <c r="I320" s="4"/>
      <c r="J320" s="4"/>
      <c r="K320" s="30"/>
    </row>
    <row r="321" spans="2:11" s="1" customFormat="1" ht="15.75">
      <c r="B321" s="21"/>
      <c r="C321" s="12"/>
      <c r="D321" s="12"/>
      <c r="E321" s="11"/>
      <c r="F321" s="4"/>
      <c r="G321" s="4"/>
      <c r="H321" s="4"/>
      <c r="I321" s="4"/>
      <c r="J321" s="4"/>
      <c r="K321" s="30"/>
    </row>
    <row r="322" spans="2:11" s="1" customFormat="1" ht="15.75">
      <c r="B322" s="21"/>
      <c r="C322" s="12"/>
      <c r="D322" s="12"/>
      <c r="E322" s="11"/>
      <c r="F322" s="4"/>
      <c r="G322" s="4"/>
      <c r="H322" s="4"/>
      <c r="I322" s="4"/>
      <c r="J322" s="4"/>
      <c r="K322" s="30"/>
    </row>
    <row r="323" spans="2:11" s="1" customFormat="1" ht="15.75">
      <c r="B323" s="21"/>
      <c r="C323" s="12"/>
      <c r="D323" s="12"/>
      <c r="E323" s="11"/>
      <c r="F323" s="4"/>
      <c r="G323" s="4"/>
      <c r="H323" s="4"/>
      <c r="I323" s="4"/>
      <c r="J323" s="4"/>
      <c r="K323" s="30"/>
    </row>
    <row r="324" spans="2:11" s="1" customFormat="1" ht="15.75">
      <c r="B324" s="21"/>
      <c r="C324" s="12"/>
      <c r="D324" s="12"/>
      <c r="E324" s="11"/>
      <c r="F324" s="4"/>
      <c r="G324" s="4"/>
      <c r="H324" s="4"/>
      <c r="I324" s="4"/>
      <c r="J324" s="4"/>
      <c r="K324" s="30"/>
    </row>
    <row r="325" spans="2:11" s="1" customFormat="1" ht="15.75">
      <c r="B325" s="21"/>
      <c r="C325" s="12"/>
      <c r="D325" s="12"/>
      <c r="E325" s="11"/>
      <c r="F325" s="4"/>
      <c r="G325" s="4"/>
      <c r="H325" s="4"/>
      <c r="I325" s="4"/>
      <c r="J325" s="4"/>
      <c r="K325" s="30"/>
    </row>
    <row r="326" spans="2:11" s="1" customFormat="1" ht="15.75">
      <c r="B326" s="21"/>
      <c r="C326" s="12"/>
      <c r="D326" s="12"/>
      <c r="E326" s="11"/>
      <c r="F326" s="4"/>
      <c r="G326" s="4"/>
      <c r="H326" s="4"/>
      <c r="I326" s="4"/>
      <c r="J326" s="4"/>
      <c r="K326" s="30"/>
    </row>
    <row r="327" spans="2:11" s="1" customFormat="1" ht="15.75">
      <c r="B327" s="21"/>
      <c r="C327" s="12"/>
      <c r="D327" s="12"/>
      <c r="E327" s="11"/>
      <c r="F327" s="4"/>
      <c r="G327" s="4"/>
      <c r="H327" s="4"/>
      <c r="I327" s="4"/>
      <c r="J327" s="4"/>
      <c r="K327" s="30"/>
    </row>
    <row r="328" spans="2:11" s="1" customFormat="1" ht="15.75">
      <c r="B328" s="21"/>
      <c r="C328" s="12"/>
      <c r="D328" s="12"/>
      <c r="E328" s="11"/>
      <c r="F328" s="4"/>
      <c r="G328" s="4"/>
      <c r="H328" s="4"/>
      <c r="I328" s="4"/>
      <c r="J328" s="4"/>
      <c r="K328" s="30"/>
    </row>
    <row r="329" spans="2:11" s="1" customFormat="1" ht="15.75">
      <c r="B329" s="21"/>
      <c r="C329" s="12"/>
      <c r="D329" s="12"/>
      <c r="E329" s="11"/>
      <c r="F329" s="4"/>
      <c r="G329" s="4"/>
      <c r="H329" s="4"/>
      <c r="I329" s="4"/>
      <c r="J329" s="4"/>
      <c r="K329" s="30"/>
    </row>
    <row r="330" spans="2:11" s="1" customFormat="1" ht="15.75">
      <c r="B330" s="21"/>
      <c r="C330" s="12"/>
      <c r="D330" s="12"/>
      <c r="E330" s="11"/>
      <c r="F330" s="4"/>
      <c r="G330" s="4"/>
      <c r="H330" s="4"/>
      <c r="I330" s="4"/>
      <c r="J330" s="4"/>
      <c r="K330" s="30"/>
    </row>
    <row r="331" spans="2:11" s="1" customFormat="1" ht="15.75">
      <c r="B331" s="21"/>
      <c r="C331" s="12"/>
      <c r="D331" s="12"/>
      <c r="E331" s="11"/>
      <c r="F331" s="4"/>
      <c r="G331" s="4"/>
      <c r="H331" s="4"/>
      <c r="I331" s="4"/>
      <c r="J331" s="4"/>
      <c r="K331" s="30"/>
    </row>
    <row r="332" spans="2:11" s="1" customFormat="1" ht="15.75">
      <c r="B332" s="21"/>
      <c r="C332" s="12"/>
      <c r="D332" s="12"/>
      <c r="E332" s="11"/>
      <c r="F332" s="4"/>
      <c r="G332" s="4"/>
      <c r="H332" s="4"/>
      <c r="I332" s="4"/>
      <c r="J332" s="4"/>
      <c r="K332" s="30"/>
    </row>
    <row r="333" spans="2:11" s="1" customFormat="1" ht="15.75">
      <c r="B333" s="21"/>
      <c r="C333" s="12"/>
      <c r="D333" s="12"/>
      <c r="E333" s="11"/>
      <c r="F333" s="4"/>
      <c r="G333" s="4"/>
      <c r="H333" s="4"/>
      <c r="I333" s="4"/>
      <c r="J333" s="4"/>
      <c r="K333" s="30"/>
    </row>
    <row r="334" spans="2:11" s="1" customFormat="1" ht="15.75">
      <c r="B334" s="21"/>
      <c r="C334" s="12"/>
      <c r="D334" s="12"/>
      <c r="E334" s="11"/>
      <c r="F334" s="4"/>
      <c r="G334" s="4"/>
      <c r="H334" s="4"/>
      <c r="I334" s="4"/>
      <c r="J334" s="4"/>
      <c r="K334" s="30"/>
    </row>
    <row r="335" spans="2:11" s="1" customFormat="1" ht="15.75">
      <c r="B335" s="21"/>
      <c r="C335" s="12"/>
      <c r="D335" s="12"/>
      <c r="E335" s="11"/>
      <c r="F335" s="4"/>
      <c r="G335" s="4"/>
      <c r="H335" s="4"/>
      <c r="I335" s="4"/>
      <c r="J335" s="4"/>
      <c r="K335" s="30"/>
    </row>
    <row r="336" spans="2:11" s="1" customFormat="1" ht="15.75">
      <c r="B336" s="21"/>
      <c r="C336" s="12"/>
      <c r="D336" s="12"/>
      <c r="E336" s="11"/>
      <c r="F336" s="4"/>
      <c r="G336" s="4"/>
      <c r="H336" s="4"/>
      <c r="I336" s="4"/>
      <c r="J336" s="4"/>
      <c r="K336" s="30"/>
    </row>
    <row r="337" spans="2:11" s="1" customFormat="1" ht="15.75">
      <c r="B337" s="21"/>
      <c r="C337" s="12"/>
      <c r="D337" s="12"/>
      <c r="E337" s="11"/>
      <c r="F337" s="4"/>
      <c r="G337" s="4"/>
      <c r="H337" s="4"/>
      <c r="I337" s="4"/>
      <c r="J337" s="4"/>
      <c r="K337" s="30"/>
    </row>
    <row r="338" spans="2:11" s="1" customFormat="1" ht="15.75">
      <c r="B338" s="21"/>
      <c r="C338" s="12"/>
      <c r="D338" s="12"/>
      <c r="E338" s="11"/>
      <c r="F338" s="4"/>
      <c r="G338" s="4"/>
      <c r="H338" s="4"/>
      <c r="I338" s="4"/>
      <c r="J338" s="4"/>
      <c r="K338" s="30"/>
    </row>
    <row r="339" spans="2:11" s="1" customFormat="1" ht="15.75">
      <c r="B339" s="21"/>
      <c r="C339" s="12"/>
      <c r="D339" s="12"/>
      <c r="E339" s="11"/>
      <c r="F339" s="4"/>
      <c r="G339" s="4"/>
      <c r="H339" s="4"/>
      <c r="I339" s="4"/>
      <c r="J339" s="4"/>
      <c r="K339" s="30"/>
    </row>
    <row r="340" spans="2:11" s="1" customFormat="1" ht="15.75">
      <c r="B340" s="21"/>
      <c r="C340" s="12"/>
      <c r="D340" s="12"/>
      <c r="E340" s="11"/>
      <c r="F340" s="4"/>
      <c r="G340" s="4"/>
      <c r="H340" s="4"/>
      <c r="I340" s="4"/>
      <c r="J340" s="4"/>
      <c r="K340" s="30"/>
    </row>
    <row r="341" spans="2:11" s="1" customFormat="1" ht="15.75">
      <c r="B341" s="21"/>
      <c r="C341" s="12"/>
      <c r="D341" s="12"/>
      <c r="E341" s="11"/>
      <c r="F341" s="4"/>
      <c r="G341" s="4"/>
      <c r="H341" s="4"/>
      <c r="I341" s="4"/>
      <c r="J341" s="4"/>
      <c r="K341" s="30"/>
    </row>
    <row r="342" spans="2:11" s="1" customFormat="1" ht="15.75">
      <c r="B342" s="21"/>
      <c r="C342" s="12"/>
      <c r="D342" s="12"/>
      <c r="E342" s="11"/>
      <c r="F342" s="4"/>
      <c r="G342" s="4"/>
      <c r="H342" s="4"/>
      <c r="I342" s="4"/>
      <c r="J342" s="4"/>
      <c r="K342" s="30"/>
    </row>
    <row r="343" spans="2:11" s="1" customFormat="1" ht="15.75">
      <c r="B343" s="21"/>
      <c r="C343" s="12"/>
      <c r="D343" s="12"/>
      <c r="E343" s="11"/>
      <c r="F343" s="4"/>
      <c r="G343" s="4"/>
      <c r="H343" s="4"/>
      <c r="I343" s="4"/>
      <c r="J343" s="4"/>
      <c r="K343" s="30"/>
    </row>
    <row r="344" spans="2:11" s="1" customFormat="1" ht="15.75">
      <c r="B344" s="21"/>
      <c r="C344" s="12"/>
      <c r="D344" s="12"/>
      <c r="E344" s="11"/>
      <c r="F344" s="4"/>
      <c r="G344" s="4"/>
      <c r="H344" s="4"/>
      <c r="I344" s="4"/>
      <c r="J344" s="4"/>
      <c r="K344" s="30"/>
    </row>
    <row r="345" spans="2:11" s="1" customFormat="1" ht="15.75">
      <c r="B345" s="21"/>
      <c r="C345" s="12"/>
      <c r="D345" s="12"/>
      <c r="E345" s="11"/>
      <c r="F345" s="4"/>
      <c r="G345" s="4"/>
      <c r="H345" s="4"/>
      <c r="I345" s="4"/>
      <c r="J345" s="4"/>
      <c r="K345" s="30"/>
    </row>
    <row r="346" spans="2:11" s="1" customFormat="1" ht="15.75">
      <c r="B346" s="21"/>
      <c r="C346" s="12"/>
      <c r="D346" s="12"/>
      <c r="E346" s="11"/>
      <c r="F346" s="4"/>
      <c r="G346" s="4"/>
      <c r="H346" s="4"/>
      <c r="I346" s="4"/>
      <c r="J346" s="4"/>
      <c r="K346" s="30"/>
    </row>
    <row r="347" spans="2:11" s="1" customFormat="1" ht="15.75">
      <c r="B347" s="21"/>
      <c r="C347" s="12"/>
      <c r="D347" s="12"/>
      <c r="E347" s="11"/>
      <c r="F347" s="4"/>
      <c r="G347" s="4"/>
      <c r="H347" s="4"/>
      <c r="I347" s="4"/>
      <c r="J347" s="4"/>
      <c r="K347" s="30"/>
    </row>
    <row r="348" spans="2:11" s="1" customFormat="1" ht="15.75">
      <c r="B348" s="21"/>
      <c r="C348" s="12"/>
      <c r="D348" s="12"/>
      <c r="E348" s="11"/>
      <c r="F348" s="4"/>
      <c r="G348" s="4"/>
      <c r="H348" s="4"/>
      <c r="I348" s="4"/>
      <c r="J348" s="4"/>
      <c r="K348" s="30"/>
    </row>
    <row r="349" spans="2:11" s="1" customFormat="1" ht="15.75">
      <c r="B349" s="21"/>
      <c r="C349" s="12"/>
      <c r="D349" s="12"/>
      <c r="E349" s="11"/>
      <c r="F349" s="4"/>
      <c r="G349" s="4"/>
      <c r="H349" s="4"/>
      <c r="I349" s="4"/>
      <c r="J349" s="4"/>
      <c r="K349" s="30"/>
    </row>
    <row r="350" spans="2:11" s="1" customFormat="1" ht="15.75">
      <c r="B350" s="21"/>
      <c r="C350" s="12"/>
      <c r="D350" s="12"/>
      <c r="E350" s="11"/>
      <c r="F350" s="4"/>
      <c r="G350" s="4"/>
      <c r="H350" s="4"/>
      <c r="I350" s="4"/>
      <c r="J350" s="4"/>
      <c r="K350" s="30"/>
    </row>
    <row r="351" spans="2:11" s="1" customFormat="1" ht="15.75">
      <c r="B351" s="21"/>
      <c r="C351" s="12"/>
      <c r="D351" s="12"/>
      <c r="E351" s="11"/>
      <c r="F351" s="4"/>
      <c r="G351" s="4"/>
      <c r="H351" s="4"/>
      <c r="I351" s="4"/>
      <c r="J351" s="4"/>
      <c r="K351" s="30"/>
    </row>
    <row r="352" spans="2:11" s="1" customFormat="1" ht="15.75">
      <c r="B352" s="21"/>
      <c r="C352" s="12"/>
      <c r="D352" s="12"/>
      <c r="E352" s="11"/>
      <c r="F352" s="4"/>
      <c r="G352" s="4"/>
      <c r="H352" s="4"/>
      <c r="I352" s="4"/>
      <c r="J352" s="4"/>
      <c r="K352" s="30"/>
    </row>
    <row r="353" spans="2:11" s="1" customFormat="1" ht="15.75">
      <c r="B353" s="21"/>
      <c r="C353" s="12"/>
      <c r="D353" s="12"/>
      <c r="E353" s="11"/>
      <c r="F353" s="4"/>
      <c r="G353" s="4"/>
      <c r="H353" s="4"/>
      <c r="I353" s="4"/>
      <c r="J353" s="4"/>
      <c r="K353" s="30"/>
    </row>
    <row r="354" spans="2:11" s="1" customFormat="1" ht="15.75">
      <c r="B354" s="21"/>
      <c r="C354" s="12"/>
      <c r="D354" s="12"/>
      <c r="E354" s="11"/>
      <c r="F354" s="4"/>
      <c r="G354" s="4"/>
      <c r="H354" s="4"/>
      <c r="I354" s="4"/>
      <c r="J354" s="4"/>
      <c r="K354" s="30"/>
    </row>
    <row r="355" spans="2:11" s="1" customFormat="1" ht="15.75">
      <c r="B355" s="21"/>
      <c r="C355" s="12"/>
      <c r="D355" s="12"/>
      <c r="E355" s="11"/>
      <c r="F355" s="4"/>
      <c r="G355" s="4"/>
      <c r="H355" s="4"/>
      <c r="I355" s="4"/>
      <c r="J355" s="4"/>
      <c r="K355" s="30"/>
    </row>
    <row r="356" spans="2:11" s="1" customFormat="1" ht="15.75">
      <c r="B356" s="21"/>
      <c r="C356" s="12"/>
      <c r="D356" s="12"/>
      <c r="E356" s="11"/>
      <c r="F356" s="4"/>
      <c r="G356" s="4"/>
      <c r="H356" s="4"/>
      <c r="I356" s="4"/>
      <c r="J356" s="4"/>
      <c r="K356" s="30"/>
    </row>
    <row r="357" spans="2:11" s="1" customFormat="1" ht="15.75">
      <c r="B357" s="21"/>
      <c r="C357" s="12"/>
      <c r="D357" s="12"/>
      <c r="E357" s="11"/>
      <c r="F357" s="4"/>
      <c r="G357" s="4"/>
      <c r="H357" s="4"/>
      <c r="I357" s="4"/>
      <c r="J357" s="4"/>
      <c r="K357" s="30"/>
    </row>
    <row r="358" spans="2:11" s="1" customFormat="1" ht="15.75">
      <c r="B358" s="21"/>
      <c r="C358" s="12"/>
      <c r="D358" s="12"/>
      <c r="E358" s="11"/>
      <c r="F358" s="4"/>
      <c r="G358" s="4"/>
      <c r="H358" s="4"/>
      <c r="I358" s="4"/>
      <c r="J358" s="4"/>
      <c r="K358" s="30"/>
    </row>
    <row r="359" spans="2:11" s="1" customFormat="1" ht="15.75">
      <c r="B359" s="21"/>
      <c r="C359" s="12"/>
      <c r="D359" s="12"/>
      <c r="E359" s="11"/>
      <c r="F359" s="4"/>
      <c r="G359" s="4"/>
      <c r="H359" s="4"/>
      <c r="I359" s="4"/>
      <c r="J359" s="4"/>
      <c r="K359" s="30"/>
    </row>
    <row r="360" spans="2:11" s="1" customFormat="1" ht="15.75">
      <c r="B360" s="21"/>
      <c r="C360" s="12"/>
      <c r="D360" s="12"/>
      <c r="E360" s="11"/>
      <c r="F360" s="4"/>
      <c r="G360" s="4"/>
      <c r="H360" s="4"/>
      <c r="I360" s="4"/>
      <c r="J360" s="4"/>
      <c r="K360" s="30"/>
    </row>
    <row r="361" spans="2:11" s="1" customFormat="1" ht="15.75">
      <c r="B361" s="21"/>
      <c r="C361" s="12"/>
      <c r="D361" s="12"/>
      <c r="E361" s="11"/>
      <c r="F361" s="4"/>
      <c r="G361" s="4"/>
      <c r="H361" s="4"/>
      <c r="I361" s="4"/>
      <c r="J361" s="4"/>
      <c r="K361" s="30"/>
    </row>
    <row r="362" spans="2:11" s="1" customFormat="1" ht="15.75">
      <c r="B362" s="21"/>
      <c r="C362" s="12"/>
      <c r="D362" s="12"/>
      <c r="E362" s="11"/>
      <c r="F362" s="4"/>
      <c r="G362" s="4"/>
      <c r="H362" s="4"/>
      <c r="I362" s="4"/>
      <c r="J362" s="4"/>
      <c r="K362" s="30"/>
    </row>
    <row r="363" spans="2:11" s="1" customFormat="1" ht="15.75">
      <c r="B363" s="21"/>
      <c r="C363" s="12"/>
      <c r="D363" s="12"/>
      <c r="E363" s="11"/>
      <c r="F363" s="4"/>
      <c r="G363" s="4"/>
      <c r="H363" s="4"/>
      <c r="I363" s="4"/>
      <c r="J363" s="4"/>
      <c r="K363" s="30"/>
    </row>
    <row r="364" spans="2:11" s="1" customFormat="1" ht="15.75">
      <c r="B364" s="21"/>
      <c r="C364" s="12"/>
      <c r="D364" s="12"/>
      <c r="E364" s="11"/>
      <c r="F364" s="4"/>
      <c r="G364" s="4"/>
      <c r="H364" s="4"/>
      <c r="I364" s="4"/>
      <c r="J364" s="4"/>
      <c r="K364" s="30"/>
    </row>
    <row r="365" spans="2:11" s="1" customFormat="1" ht="15.75">
      <c r="B365" s="21"/>
      <c r="C365" s="12"/>
      <c r="D365" s="12"/>
      <c r="E365" s="11"/>
      <c r="F365" s="4"/>
      <c r="G365" s="4"/>
      <c r="H365" s="4"/>
      <c r="I365" s="4"/>
      <c r="J365" s="4"/>
      <c r="K365" s="30"/>
    </row>
    <row r="366" spans="2:11" s="1" customFormat="1" ht="15.75">
      <c r="B366" s="21"/>
      <c r="C366" s="12"/>
      <c r="D366" s="12"/>
      <c r="E366" s="11"/>
      <c r="F366" s="4"/>
      <c r="G366" s="4"/>
      <c r="H366" s="4"/>
      <c r="I366" s="4"/>
      <c r="J366" s="4"/>
      <c r="K366" s="30"/>
    </row>
    <row r="367" spans="2:11" s="1" customFormat="1" ht="15.75">
      <c r="B367" s="21"/>
      <c r="C367" s="12"/>
      <c r="D367" s="12"/>
      <c r="E367" s="11"/>
      <c r="F367" s="4"/>
      <c r="G367" s="4"/>
      <c r="H367" s="4"/>
      <c r="I367" s="4"/>
      <c r="J367" s="4"/>
      <c r="K367" s="30"/>
    </row>
    <row r="368" spans="2:11" s="1" customFormat="1" ht="15.75">
      <c r="B368" s="21"/>
      <c r="C368" s="12"/>
      <c r="D368" s="12"/>
      <c r="E368" s="11"/>
      <c r="F368" s="4"/>
      <c r="G368" s="4"/>
      <c r="H368" s="4"/>
      <c r="I368" s="4"/>
      <c r="J368" s="4"/>
      <c r="K368" s="30"/>
    </row>
    <row r="369" spans="2:11" s="1" customFormat="1" ht="15.75">
      <c r="B369" s="21"/>
      <c r="C369" s="12"/>
      <c r="D369" s="12"/>
      <c r="E369" s="11"/>
      <c r="F369" s="4"/>
      <c r="G369" s="4"/>
      <c r="H369" s="4"/>
      <c r="I369" s="4"/>
      <c r="J369" s="4"/>
      <c r="K369" s="30"/>
    </row>
    <row r="370" spans="2:11" s="1" customFormat="1" ht="15.75">
      <c r="B370" s="21"/>
      <c r="C370" s="12"/>
      <c r="D370" s="12"/>
      <c r="E370" s="11"/>
      <c r="F370" s="4"/>
      <c r="G370" s="4"/>
      <c r="H370" s="4"/>
      <c r="I370" s="4"/>
      <c r="J370" s="4"/>
      <c r="K370" s="30"/>
    </row>
    <row r="371" spans="2:11" s="1" customFormat="1" ht="15.75">
      <c r="B371" s="21"/>
      <c r="C371" s="12"/>
      <c r="D371" s="12"/>
      <c r="E371" s="11"/>
      <c r="F371" s="4"/>
      <c r="G371" s="4"/>
      <c r="H371" s="4"/>
      <c r="I371" s="4"/>
      <c r="J371" s="4"/>
      <c r="K371" s="30"/>
    </row>
    <row r="372" spans="2:11" s="1" customFormat="1" ht="15.75">
      <c r="B372" s="21"/>
      <c r="C372" s="12"/>
      <c r="D372" s="12"/>
      <c r="E372" s="11"/>
      <c r="F372" s="4"/>
      <c r="G372" s="4"/>
      <c r="H372" s="4"/>
      <c r="I372" s="4"/>
      <c r="J372" s="4"/>
      <c r="K372" s="30"/>
    </row>
    <row r="373" spans="2:11" s="1" customFormat="1" ht="15.75">
      <c r="B373" s="21"/>
      <c r="C373" s="12"/>
      <c r="D373" s="12"/>
      <c r="E373" s="11"/>
      <c r="F373" s="4"/>
      <c r="G373" s="4"/>
      <c r="H373" s="4"/>
      <c r="I373" s="4"/>
      <c r="J373" s="4"/>
      <c r="K373" s="30"/>
    </row>
    <row r="374" spans="2:11" s="1" customFormat="1" ht="15.75">
      <c r="B374" s="21"/>
      <c r="C374" s="12"/>
      <c r="D374" s="12"/>
      <c r="E374" s="11"/>
      <c r="F374" s="4"/>
      <c r="G374" s="4"/>
      <c r="H374" s="4"/>
      <c r="I374" s="4"/>
      <c r="J374" s="4"/>
      <c r="K374" s="30"/>
    </row>
    <row r="375" spans="2:11" s="1" customFormat="1" ht="15.75">
      <c r="B375" s="21"/>
      <c r="C375" s="12"/>
      <c r="D375" s="12"/>
      <c r="E375" s="11"/>
      <c r="F375" s="4"/>
      <c r="G375" s="4"/>
      <c r="H375" s="4"/>
      <c r="I375" s="4"/>
      <c r="J375" s="4"/>
      <c r="K375" s="30"/>
    </row>
    <row r="376" spans="2:11" s="1" customFormat="1" ht="15.75">
      <c r="B376" s="21"/>
      <c r="C376" s="12"/>
      <c r="D376" s="12"/>
      <c r="E376" s="11"/>
      <c r="F376" s="4"/>
      <c r="G376" s="4"/>
      <c r="H376" s="4"/>
      <c r="I376" s="4"/>
      <c r="J376" s="4"/>
      <c r="K376" s="30"/>
    </row>
    <row r="377" spans="2:11" s="1" customFormat="1" ht="15.75">
      <c r="B377" s="21"/>
      <c r="C377" s="12"/>
      <c r="D377" s="12"/>
      <c r="E377" s="11"/>
      <c r="F377" s="4"/>
      <c r="G377" s="4"/>
      <c r="H377" s="4"/>
      <c r="I377" s="4"/>
      <c r="J377" s="4"/>
      <c r="K377" s="30"/>
    </row>
    <row r="378" spans="2:11" s="1" customFormat="1" ht="15.75">
      <c r="B378" s="21"/>
      <c r="C378" s="12"/>
      <c r="D378" s="12"/>
      <c r="E378" s="11"/>
      <c r="F378" s="4"/>
      <c r="G378" s="4"/>
      <c r="H378" s="4"/>
      <c r="I378" s="4"/>
      <c r="J378" s="4"/>
      <c r="K378" s="30"/>
    </row>
    <row r="379" spans="2:11" s="1" customFormat="1" ht="15.75">
      <c r="B379" s="21"/>
      <c r="C379" s="12"/>
      <c r="D379" s="12"/>
      <c r="E379" s="11"/>
      <c r="F379" s="4"/>
      <c r="G379" s="4"/>
      <c r="H379" s="4"/>
      <c r="I379" s="4"/>
      <c r="J379" s="4"/>
      <c r="K379" s="30"/>
    </row>
    <row r="380" spans="2:11" s="1" customFormat="1" ht="15.75">
      <c r="B380" s="21"/>
      <c r="C380" s="12"/>
      <c r="D380" s="12"/>
      <c r="E380" s="11"/>
      <c r="F380" s="4"/>
      <c r="G380" s="4"/>
      <c r="H380" s="4"/>
      <c r="I380" s="4"/>
      <c r="J380" s="4"/>
      <c r="K380" s="30"/>
    </row>
    <row r="381" spans="2:11" s="1" customFormat="1" ht="15.75">
      <c r="B381" s="21"/>
      <c r="C381" s="12"/>
      <c r="D381" s="12"/>
      <c r="E381" s="11"/>
      <c r="F381" s="4"/>
      <c r="G381" s="4"/>
      <c r="H381" s="4"/>
      <c r="I381" s="4"/>
      <c r="J381" s="4"/>
      <c r="K381" s="30"/>
    </row>
    <row r="382" spans="2:11" s="1" customFormat="1" ht="15.75">
      <c r="B382" s="21"/>
      <c r="C382" s="12"/>
      <c r="D382" s="12"/>
      <c r="E382" s="11"/>
      <c r="F382" s="4"/>
      <c r="G382" s="4"/>
      <c r="H382" s="4"/>
      <c r="I382" s="4"/>
      <c r="J382" s="4"/>
      <c r="K382" s="30"/>
    </row>
    <row r="383" spans="2:11" s="1" customFormat="1" ht="15.75">
      <c r="B383" s="21"/>
      <c r="C383" s="12"/>
      <c r="D383" s="12"/>
      <c r="E383" s="11"/>
      <c r="F383" s="4"/>
      <c r="G383" s="4"/>
      <c r="H383" s="4"/>
      <c r="I383" s="4"/>
      <c r="J383" s="4"/>
      <c r="K383" s="30"/>
    </row>
    <row r="384" spans="2:11" s="1" customFormat="1" ht="15.75">
      <c r="B384" s="21"/>
      <c r="C384" s="12"/>
      <c r="D384" s="12"/>
      <c r="E384" s="11"/>
      <c r="F384" s="4"/>
      <c r="G384" s="4"/>
      <c r="H384" s="4"/>
      <c r="I384" s="4"/>
      <c r="J384" s="4"/>
      <c r="K384" s="30"/>
    </row>
    <row r="385" spans="2:11" s="1" customFormat="1" ht="15.75">
      <c r="B385" s="21"/>
      <c r="C385" s="12"/>
      <c r="D385" s="12"/>
      <c r="E385" s="11"/>
      <c r="F385" s="4"/>
      <c r="G385" s="4"/>
      <c r="H385" s="4"/>
      <c r="I385" s="4"/>
      <c r="J385" s="4"/>
      <c r="K385" s="30"/>
    </row>
    <row r="386" spans="2:11" s="1" customFormat="1" ht="15.75">
      <c r="B386" s="21"/>
      <c r="C386" s="12"/>
      <c r="D386" s="12"/>
      <c r="E386" s="11"/>
      <c r="F386" s="4"/>
      <c r="G386" s="4"/>
      <c r="H386" s="4"/>
      <c r="I386" s="4"/>
      <c r="J386" s="4"/>
      <c r="K386" s="30"/>
    </row>
    <row r="387" spans="2:11" s="1" customFormat="1" ht="15.75">
      <c r="B387" s="21"/>
      <c r="C387" s="12"/>
      <c r="D387" s="12"/>
      <c r="E387" s="11"/>
      <c r="F387" s="4"/>
      <c r="G387" s="4"/>
      <c r="H387" s="4"/>
      <c r="I387" s="4"/>
      <c r="J387" s="4"/>
      <c r="K387" s="30"/>
    </row>
    <row r="388" spans="2:11" s="1" customFormat="1" ht="15.75">
      <c r="B388" s="21"/>
      <c r="C388" s="12"/>
      <c r="D388" s="12"/>
      <c r="E388" s="11"/>
      <c r="F388" s="4"/>
      <c r="G388" s="4"/>
      <c r="H388" s="4"/>
      <c r="I388" s="4"/>
      <c r="J388" s="4"/>
      <c r="K388" s="30"/>
    </row>
    <row r="389" spans="2:11" s="1" customFormat="1" ht="15.75">
      <c r="B389" s="21"/>
      <c r="C389" s="12"/>
      <c r="D389" s="12"/>
      <c r="E389" s="11"/>
      <c r="F389" s="4"/>
      <c r="G389" s="4"/>
      <c r="H389" s="4"/>
      <c r="I389" s="4"/>
      <c r="J389" s="4"/>
      <c r="K389" s="30"/>
    </row>
    <row r="390" spans="2:11" s="1" customFormat="1" ht="15.75">
      <c r="B390" s="21"/>
      <c r="C390" s="12"/>
      <c r="D390" s="12"/>
      <c r="E390" s="11"/>
      <c r="F390" s="4"/>
      <c r="G390" s="4"/>
      <c r="H390" s="4"/>
      <c r="I390" s="4"/>
      <c r="J390" s="4"/>
      <c r="K390" s="30"/>
    </row>
    <row r="391" spans="2:11" s="1" customFormat="1" ht="15.75">
      <c r="B391" s="21"/>
      <c r="C391" s="12"/>
      <c r="D391" s="12"/>
      <c r="E391" s="11"/>
      <c r="F391" s="4"/>
      <c r="G391" s="4"/>
      <c r="H391" s="4"/>
      <c r="I391" s="4"/>
      <c r="J391" s="4"/>
      <c r="K391" s="30"/>
    </row>
    <row r="392" spans="2:11" s="1" customFormat="1" ht="15.75">
      <c r="B392" s="21"/>
      <c r="C392" s="12"/>
      <c r="D392" s="12"/>
      <c r="E392" s="11"/>
      <c r="F392" s="4"/>
      <c r="G392" s="4"/>
      <c r="H392" s="4"/>
      <c r="I392" s="4"/>
      <c r="J392" s="4"/>
      <c r="K392" s="30"/>
    </row>
    <row r="393" spans="2:11" s="1" customFormat="1" ht="15.75">
      <c r="B393" s="21"/>
      <c r="C393" s="12"/>
      <c r="D393" s="12"/>
      <c r="E393" s="11"/>
      <c r="F393" s="4"/>
      <c r="G393" s="4"/>
      <c r="H393" s="4"/>
      <c r="I393" s="4"/>
      <c r="J393" s="4"/>
      <c r="K393" s="30"/>
    </row>
    <row r="394" spans="2:11" s="1" customFormat="1" ht="15.75">
      <c r="B394" s="21"/>
      <c r="C394" s="12"/>
      <c r="D394" s="12"/>
      <c r="E394" s="11"/>
      <c r="F394" s="4"/>
      <c r="G394" s="4"/>
      <c r="H394" s="4"/>
      <c r="I394" s="4"/>
      <c r="J394" s="4"/>
      <c r="K394" s="30"/>
    </row>
    <row r="395" spans="2:11" s="1" customFormat="1" ht="15.75">
      <c r="B395" s="21"/>
      <c r="C395" s="12"/>
      <c r="D395" s="12"/>
      <c r="E395" s="11"/>
      <c r="F395" s="4"/>
      <c r="G395" s="4"/>
      <c r="H395" s="4"/>
      <c r="I395" s="4"/>
      <c r="J395" s="4"/>
      <c r="K395" s="30"/>
    </row>
    <row r="396" spans="2:11" s="1" customFormat="1" ht="15.75">
      <c r="B396" s="21"/>
      <c r="C396" s="12"/>
      <c r="D396" s="12"/>
      <c r="E396" s="11"/>
      <c r="F396" s="4"/>
      <c r="G396" s="4"/>
      <c r="H396" s="4"/>
      <c r="I396" s="4"/>
      <c r="J396" s="4"/>
      <c r="K396" s="30"/>
    </row>
    <row r="397" spans="2:11" s="1" customFormat="1" ht="15.75">
      <c r="B397" s="21"/>
      <c r="C397" s="12"/>
      <c r="D397" s="12"/>
      <c r="E397" s="11"/>
      <c r="F397" s="4"/>
      <c r="G397" s="4"/>
      <c r="H397" s="4"/>
      <c r="I397" s="4"/>
      <c r="J397" s="4"/>
      <c r="K397" s="30"/>
    </row>
    <row r="398" spans="2:11" s="1" customFormat="1" ht="15.75">
      <c r="B398" s="21"/>
      <c r="C398" s="12"/>
      <c r="D398" s="12"/>
      <c r="E398" s="11"/>
      <c r="F398" s="4"/>
      <c r="G398" s="4"/>
      <c r="H398" s="4"/>
      <c r="I398" s="4"/>
      <c r="J398" s="4"/>
      <c r="K398" s="30"/>
    </row>
    <row r="399" spans="2:11" s="1" customFormat="1" ht="15.75">
      <c r="B399" s="21"/>
      <c r="C399" s="12"/>
      <c r="D399" s="12"/>
      <c r="E399" s="11"/>
      <c r="F399" s="4"/>
      <c r="G399" s="4"/>
      <c r="H399" s="4"/>
      <c r="I399" s="4"/>
      <c r="J399" s="4"/>
      <c r="K399" s="30"/>
    </row>
    <row r="400" spans="2:11" s="1" customFormat="1" ht="15.75">
      <c r="B400" s="21"/>
      <c r="C400" s="12"/>
      <c r="D400" s="12"/>
      <c r="E400" s="11"/>
      <c r="F400" s="4"/>
      <c r="G400" s="4"/>
      <c r="H400" s="4"/>
      <c r="I400" s="4"/>
      <c r="J400" s="4"/>
      <c r="K400" s="30"/>
    </row>
    <row r="401" spans="2:11" s="1" customFormat="1" ht="15.75">
      <c r="B401" s="21"/>
      <c r="C401" s="12"/>
      <c r="D401" s="12"/>
      <c r="E401" s="11"/>
      <c r="F401" s="4"/>
      <c r="G401" s="4"/>
      <c r="H401" s="4"/>
      <c r="I401" s="4"/>
      <c r="J401" s="4"/>
      <c r="K401" s="30"/>
    </row>
    <row r="402" spans="2:11" s="1" customFormat="1" ht="15.75">
      <c r="B402" s="21"/>
      <c r="C402" s="12"/>
      <c r="D402" s="12"/>
      <c r="E402" s="11"/>
      <c r="F402" s="4"/>
      <c r="G402" s="4"/>
      <c r="H402" s="4"/>
      <c r="I402" s="4"/>
      <c r="J402" s="4"/>
      <c r="K402" s="30"/>
    </row>
    <row r="403" spans="2:11" s="1" customFormat="1" ht="15.75">
      <c r="B403" s="21"/>
      <c r="C403" s="12"/>
      <c r="D403" s="12"/>
      <c r="E403" s="11"/>
      <c r="F403" s="4"/>
      <c r="G403" s="4"/>
      <c r="H403" s="4"/>
      <c r="I403" s="4"/>
      <c r="J403" s="4"/>
      <c r="K403" s="30"/>
    </row>
    <row r="404" spans="2:11" s="1" customFormat="1" ht="15.75">
      <c r="B404" s="21"/>
      <c r="C404" s="12"/>
      <c r="D404" s="12"/>
      <c r="E404" s="11"/>
      <c r="F404" s="4"/>
      <c r="G404" s="4"/>
      <c r="H404" s="4"/>
      <c r="I404" s="4"/>
      <c r="J404" s="4"/>
      <c r="K404" s="30"/>
    </row>
    <row r="405" spans="2:11" s="1" customFormat="1" ht="15.75">
      <c r="B405" s="21"/>
      <c r="C405" s="12"/>
      <c r="D405" s="12"/>
      <c r="E405" s="11"/>
      <c r="F405" s="4"/>
      <c r="G405" s="4"/>
      <c r="H405" s="4"/>
      <c r="I405" s="4"/>
      <c r="J405" s="4"/>
      <c r="K405" s="30"/>
    </row>
    <row r="406" spans="2:11" s="1" customFormat="1" ht="15.75">
      <c r="B406" s="21"/>
      <c r="C406" s="12"/>
      <c r="D406" s="12"/>
      <c r="E406" s="11"/>
      <c r="F406" s="4"/>
      <c r="G406" s="4"/>
      <c r="H406" s="4"/>
      <c r="I406" s="4"/>
      <c r="J406" s="4"/>
      <c r="K406" s="30"/>
    </row>
    <row r="407" spans="2:11" s="1" customFormat="1" ht="15.75">
      <c r="B407" s="21"/>
      <c r="C407" s="12"/>
      <c r="D407" s="12"/>
      <c r="E407" s="11"/>
      <c r="F407" s="4"/>
      <c r="G407" s="4"/>
      <c r="H407" s="4"/>
      <c r="I407" s="4"/>
      <c r="J407" s="4"/>
      <c r="K407" s="30"/>
    </row>
    <row r="408" spans="2:11" s="1" customFormat="1" ht="15.75">
      <c r="B408" s="21"/>
      <c r="C408" s="12"/>
      <c r="D408" s="12"/>
      <c r="E408" s="11"/>
      <c r="F408" s="4"/>
      <c r="G408" s="4"/>
      <c r="H408" s="4"/>
      <c r="I408" s="4"/>
      <c r="J408" s="4"/>
      <c r="K408" s="30"/>
    </row>
    <row r="409" spans="2:11" s="1" customFormat="1" ht="15.75">
      <c r="B409" s="21"/>
      <c r="C409" s="12"/>
      <c r="D409" s="12"/>
      <c r="E409" s="11"/>
      <c r="F409" s="4"/>
      <c r="G409" s="4"/>
      <c r="H409" s="4"/>
      <c r="I409" s="4"/>
      <c r="J409" s="4"/>
      <c r="K409" s="30"/>
    </row>
    <row r="410" spans="2:11" s="1" customFormat="1" ht="15.75">
      <c r="B410" s="21"/>
      <c r="C410" s="12"/>
      <c r="D410" s="12"/>
      <c r="E410" s="11"/>
      <c r="F410" s="4"/>
      <c r="G410" s="4"/>
      <c r="H410" s="4"/>
      <c r="I410" s="4"/>
      <c r="J410" s="4"/>
      <c r="K410" s="30"/>
    </row>
    <row r="411" spans="2:11" s="1" customFormat="1" ht="15.75">
      <c r="B411" s="21"/>
      <c r="C411" s="12"/>
      <c r="D411" s="12"/>
      <c r="E411" s="11"/>
      <c r="F411" s="4"/>
      <c r="G411" s="4"/>
      <c r="H411" s="4"/>
      <c r="I411" s="4"/>
      <c r="J411" s="4"/>
      <c r="K411" s="30"/>
    </row>
    <row r="412" spans="2:11" s="1" customFormat="1" ht="15.75">
      <c r="B412" s="21"/>
      <c r="C412" s="12"/>
      <c r="D412" s="12"/>
      <c r="E412" s="11"/>
      <c r="F412" s="4"/>
      <c r="G412" s="4"/>
      <c r="H412" s="4"/>
      <c r="I412" s="4"/>
      <c r="J412" s="4"/>
      <c r="K412" s="30"/>
    </row>
    <row r="413" spans="2:11" s="1" customFormat="1" ht="15.75">
      <c r="B413" s="21"/>
      <c r="C413" s="12"/>
      <c r="D413" s="12"/>
      <c r="E413" s="11"/>
      <c r="F413" s="4"/>
      <c r="G413" s="4"/>
      <c r="H413" s="4"/>
      <c r="I413" s="4"/>
      <c r="J413" s="4"/>
      <c r="K413" s="30"/>
    </row>
    <row r="414" spans="2:11" s="1" customFormat="1" ht="15.75">
      <c r="B414" s="21"/>
      <c r="C414" s="12"/>
      <c r="D414" s="12"/>
      <c r="E414" s="11"/>
      <c r="F414" s="4"/>
      <c r="G414" s="4"/>
      <c r="H414" s="4"/>
      <c r="I414" s="4"/>
      <c r="J414" s="4"/>
      <c r="K414" s="30"/>
    </row>
    <row r="415" spans="2:11" s="1" customFormat="1" ht="15.75">
      <c r="B415" s="21"/>
      <c r="C415" s="12"/>
      <c r="D415" s="12"/>
      <c r="E415" s="11"/>
      <c r="F415" s="4"/>
      <c r="G415" s="4"/>
      <c r="H415" s="4"/>
      <c r="I415" s="4"/>
      <c r="J415" s="4"/>
      <c r="K415" s="30"/>
    </row>
    <row r="416" spans="2:11" s="1" customFormat="1" ht="15.75">
      <c r="B416" s="21"/>
      <c r="C416" s="12"/>
      <c r="D416" s="12"/>
      <c r="E416" s="11"/>
      <c r="F416" s="4"/>
      <c r="G416" s="4"/>
      <c r="H416" s="4"/>
      <c r="I416" s="4"/>
      <c r="J416" s="4"/>
      <c r="K416" s="30"/>
    </row>
    <row r="417" spans="2:11" s="1" customFormat="1" ht="15.75">
      <c r="B417" s="21"/>
      <c r="C417" s="12"/>
      <c r="D417" s="12"/>
      <c r="E417" s="11"/>
      <c r="F417" s="4"/>
      <c r="G417" s="4"/>
      <c r="H417" s="4"/>
      <c r="I417" s="4"/>
      <c r="J417" s="4"/>
      <c r="K417" s="30"/>
    </row>
    <row r="418" spans="2:11" s="1" customFormat="1" ht="15.75">
      <c r="B418" s="21"/>
      <c r="C418" s="12"/>
      <c r="D418" s="12"/>
      <c r="E418" s="11"/>
      <c r="F418" s="4"/>
      <c r="G418" s="4"/>
      <c r="H418" s="4"/>
      <c r="I418" s="4"/>
      <c r="J418" s="4"/>
      <c r="K418" s="30"/>
    </row>
    <row r="419" spans="2:11" s="1" customFormat="1" ht="15.75">
      <c r="B419" s="21"/>
      <c r="C419" s="12"/>
      <c r="D419" s="12"/>
      <c r="E419" s="11"/>
      <c r="F419" s="4"/>
      <c r="G419" s="4"/>
      <c r="H419" s="4"/>
      <c r="I419" s="4"/>
      <c r="J419" s="4"/>
      <c r="K419" s="30"/>
    </row>
    <row r="420" spans="2:11" s="1" customFormat="1" ht="15.75">
      <c r="B420" s="21"/>
      <c r="C420" s="12"/>
      <c r="D420" s="12"/>
      <c r="E420" s="11"/>
      <c r="F420" s="4"/>
      <c r="G420" s="4"/>
      <c r="H420" s="4"/>
      <c r="I420" s="4"/>
      <c r="J420" s="4"/>
      <c r="K420" s="30"/>
    </row>
    <row r="421" spans="2:11" s="1" customFormat="1" ht="15.75">
      <c r="B421" s="21"/>
      <c r="C421" s="12"/>
      <c r="D421" s="12"/>
      <c r="E421" s="11"/>
      <c r="F421" s="4"/>
      <c r="G421" s="4"/>
      <c r="H421" s="4"/>
      <c r="I421" s="4"/>
      <c r="J421" s="4"/>
      <c r="K421" s="30"/>
    </row>
    <row r="422" spans="2:11" s="1" customFormat="1" ht="15.75">
      <c r="B422" s="21"/>
      <c r="C422" s="12"/>
      <c r="D422" s="12"/>
      <c r="E422" s="11"/>
      <c r="F422" s="4"/>
      <c r="G422" s="4"/>
      <c r="H422" s="4"/>
      <c r="I422" s="4"/>
      <c r="J422" s="4"/>
      <c r="K422" s="30"/>
    </row>
    <row r="423" spans="2:11" s="1" customFormat="1" ht="15.75">
      <c r="B423" s="21"/>
      <c r="C423" s="12"/>
      <c r="D423" s="12"/>
      <c r="E423" s="11"/>
      <c r="F423" s="4"/>
      <c r="G423" s="4"/>
      <c r="H423" s="4"/>
      <c r="I423" s="4"/>
      <c r="J423" s="4"/>
      <c r="K423" s="30"/>
    </row>
    <row r="424" spans="2:11" s="1" customFormat="1" ht="15.75">
      <c r="B424" s="21"/>
      <c r="C424" s="12"/>
      <c r="D424" s="12"/>
      <c r="E424" s="11"/>
      <c r="F424" s="4"/>
      <c r="G424" s="4"/>
      <c r="H424" s="4"/>
      <c r="I424" s="4"/>
      <c r="J424" s="4"/>
      <c r="K424" s="30"/>
    </row>
    <row r="425" spans="2:11" s="1" customFormat="1" ht="15.75">
      <c r="B425" s="21"/>
      <c r="C425" s="12"/>
      <c r="D425" s="12"/>
      <c r="E425" s="11"/>
      <c r="F425" s="4"/>
      <c r="G425" s="4"/>
      <c r="H425" s="4"/>
      <c r="I425" s="4"/>
      <c r="J425" s="4"/>
      <c r="K425" s="30"/>
    </row>
    <row r="426" spans="2:11" s="1" customFormat="1" ht="15.75">
      <c r="B426" s="21"/>
      <c r="C426" s="12"/>
      <c r="D426" s="12"/>
      <c r="E426" s="11"/>
      <c r="F426" s="4"/>
      <c r="G426" s="4"/>
      <c r="H426" s="4"/>
      <c r="I426" s="4"/>
      <c r="J426" s="4"/>
      <c r="K426" s="30"/>
    </row>
    <row r="427" spans="2:11" s="1" customFormat="1" ht="15.75">
      <c r="B427" s="21"/>
      <c r="C427" s="12"/>
      <c r="D427" s="12"/>
      <c r="E427" s="11"/>
      <c r="F427" s="4"/>
      <c r="G427" s="4"/>
      <c r="H427" s="4"/>
      <c r="I427" s="4"/>
      <c r="J427" s="4"/>
      <c r="K427" s="30"/>
    </row>
    <row r="428" spans="2:11" s="1" customFormat="1" ht="15.75">
      <c r="B428" s="21"/>
      <c r="C428" s="12"/>
      <c r="D428" s="12"/>
      <c r="E428" s="11"/>
      <c r="F428" s="4"/>
      <c r="G428" s="4"/>
      <c r="H428" s="4"/>
      <c r="I428" s="4"/>
      <c r="J428" s="4"/>
      <c r="K428" s="30"/>
    </row>
    <row r="429" spans="2:11" s="1" customFormat="1" ht="15.75">
      <c r="B429" s="21"/>
      <c r="C429" s="12"/>
      <c r="D429" s="12"/>
      <c r="E429" s="11"/>
      <c r="F429" s="4"/>
      <c r="G429" s="4"/>
      <c r="H429" s="4"/>
      <c r="I429" s="4"/>
      <c r="J429" s="4"/>
      <c r="K429" s="30"/>
    </row>
    <row r="430" spans="2:11" s="1" customFormat="1" ht="15.75">
      <c r="B430" s="21"/>
      <c r="C430" s="12"/>
      <c r="D430" s="12"/>
      <c r="E430" s="11"/>
      <c r="F430" s="4"/>
      <c r="G430" s="4"/>
      <c r="H430" s="4"/>
      <c r="I430" s="4"/>
      <c r="J430" s="4"/>
      <c r="K430" s="30"/>
    </row>
    <row r="431" spans="2:11" s="1" customFormat="1" ht="15.75">
      <c r="B431" s="21"/>
      <c r="C431" s="12"/>
      <c r="D431" s="12"/>
      <c r="E431" s="11"/>
      <c r="F431" s="4"/>
      <c r="G431" s="4"/>
      <c r="H431" s="4"/>
      <c r="I431" s="4"/>
      <c r="J431" s="4"/>
      <c r="K431" s="30"/>
    </row>
    <row r="432" spans="2:11" s="1" customFormat="1" ht="15.75">
      <c r="B432" s="21"/>
      <c r="C432" s="12"/>
      <c r="D432" s="12"/>
      <c r="E432" s="11"/>
      <c r="F432" s="4"/>
      <c r="G432" s="4"/>
      <c r="H432" s="4"/>
      <c r="I432" s="4"/>
      <c r="J432" s="4"/>
      <c r="K432" s="30"/>
    </row>
    <row r="433" spans="2:11" s="1" customFormat="1" ht="15.75">
      <c r="B433" s="21"/>
      <c r="C433" s="12"/>
      <c r="D433" s="12"/>
      <c r="E433" s="11"/>
      <c r="F433" s="4"/>
      <c r="G433" s="4"/>
      <c r="H433" s="4"/>
      <c r="I433" s="4"/>
      <c r="J433" s="4"/>
      <c r="K433" s="30"/>
    </row>
    <row r="434" spans="2:11" s="1" customFormat="1" ht="15.75">
      <c r="B434" s="21"/>
      <c r="C434" s="12"/>
      <c r="D434" s="12"/>
      <c r="E434" s="11"/>
      <c r="F434" s="4"/>
      <c r="G434" s="4"/>
      <c r="H434" s="4"/>
      <c r="I434" s="4"/>
      <c r="J434" s="4"/>
      <c r="K434" s="30"/>
    </row>
    <row r="435" spans="2:11" s="1" customFormat="1" ht="15.75">
      <c r="B435" s="21"/>
      <c r="C435" s="12"/>
      <c r="D435" s="12"/>
      <c r="E435" s="11"/>
      <c r="F435" s="4"/>
      <c r="G435" s="4"/>
      <c r="H435" s="4"/>
      <c r="I435" s="4"/>
      <c r="J435" s="4"/>
      <c r="K435" s="30"/>
    </row>
    <row r="436" spans="2:11" s="1" customFormat="1" ht="15.75">
      <c r="B436" s="21"/>
      <c r="C436" s="12"/>
      <c r="D436" s="12"/>
      <c r="E436" s="11"/>
      <c r="F436" s="4"/>
      <c r="G436" s="4"/>
      <c r="H436" s="4"/>
      <c r="I436" s="4"/>
      <c r="J436" s="4"/>
      <c r="K436" s="30"/>
    </row>
    <row r="437" spans="2:11" s="1" customFormat="1" ht="15.75">
      <c r="B437" s="21"/>
      <c r="C437" s="12"/>
      <c r="D437" s="12"/>
      <c r="E437" s="11"/>
      <c r="F437" s="4"/>
      <c r="G437" s="4"/>
      <c r="H437" s="4"/>
      <c r="I437" s="4"/>
      <c r="J437" s="4"/>
      <c r="K437" s="30"/>
    </row>
    <row r="438" spans="2:11" s="1" customFormat="1" ht="15.75">
      <c r="B438" s="21"/>
      <c r="C438" s="12"/>
      <c r="D438" s="12"/>
      <c r="E438" s="11"/>
      <c r="F438" s="4"/>
      <c r="G438" s="4"/>
      <c r="H438" s="4"/>
      <c r="I438" s="4"/>
      <c r="J438" s="4"/>
      <c r="K438" s="30"/>
    </row>
    <row r="439" spans="2:11" s="1" customFormat="1" ht="15.75">
      <c r="B439" s="21"/>
      <c r="C439" s="12"/>
      <c r="D439" s="12"/>
      <c r="E439" s="11"/>
      <c r="F439" s="4"/>
      <c r="G439" s="4"/>
      <c r="H439" s="4"/>
      <c r="I439" s="4"/>
      <c r="J439" s="4"/>
      <c r="K439" s="30"/>
    </row>
    <row r="440" spans="2:11" s="1" customFormat="1" ht="15.75">
      <c r="B440" s="21"/>
      <c r="C440" s="12"/>
      <c r="D440" s="12"/>
      <c r="E440" s="11"/>
      <c r="F440" s="4"/>
      <c r="G440" s="4"/>
      <c r="H440" s="4"/>
      <c r="I440" s="4"/>
      <c r="J440" s="4"/>
      <c r="K440" s="30"/>
    </row>
    <row r="441" spans="2:11" s="1" customFormat="1" ht="15.75">
      <c r="B441" s="21"/>
      <c r="C441" s="12"/>
      <c r="D441" s="12"/>
      <c r="E441" s="11"/>
      <c r="F441" s="4"/>
      <c r="G441" s="4"/>
      <c r="H441" s="4"/>
      <c r="I441" s="4"/>
      <c r="J441" s="4"/>
      <c r="K441" s="30"/>
    </row>
    <row r="442" spans="2:11" s="1" customFormat="1" ht="15.75">
      <c r="B442" s="21"/>
      <c r="C442" s="12"/>
      <c r="D442" s="12"/>
      <c r="E442" s="11"/>
      <c r="F442" s="4"/>
      <c r="G442" s="4"/>
      <c r="H442" s="4"/>
      <c r="I442" s="4"/>
      <c r="J442" s="4"/>
      <c r="K442" s="30"/>
    </row>
    <row r="443" spans="2:11" s="1" customFormat="1" ht="15.75">
      <c r="B443" s="21"/>
      <c r="C443" s="12"/>
      <c r="D443" s="12"/>
      <c r="E443" s="11"/>
      <c r="F443" s="4"/>
      <c r="G443" s="4"/>
      <c r="H443" s="4"/>
      <c r="I443" s="4"/>
      <c r="J443" s="4"/>
      <c r="K443" s="30"/>
    </row>
    <row r="444" spans="2:11" s="1" customFormat="1" ht="15.75">
      <c r="B444" s="21"/>
      <c r="C444" s="12"/>
      <c r="D444" s="12"/>
      <c r="E444" s="11"/>
      <c r="F444" s="4"/>
      <c r="G444" s="4"/>
      <c r="H444" s="4"/>
      <c r="I444" s="4"/>
      <c r="J444" s="4"/>
      <c r="K444" s="30"/>
    </row>
    <row r="445" spans="2:11" s="1" customFormat="1" ht="15.75">
      <c r="B445" s="21"/>
      <c r="C445" s="12"/>
      <c r="D445" s="12"/>
      <c r="E445" s="11"/>
      <c r="F445" s="4"/>
      <c r="G445" s="4"/>
      <c r="H445" s="4"/>
      <c r="I445" s="4"/>
      <c r="J445" s="4"/>
      <c r="K445" s="30"/>
    </row>
    <row r="446" spans="2:11" s="1" customFormat="1" ht="15.75">
      <c r="B446" s="21"/>
      <c r="C446" s="12"/>
      <c r="D446" s="12"/>
      <c r="E446" s="11"/>
      <c r="F446" s="4"/>
      <c r="G446" s="4"/>
      <c r="H446" s="4"/>
      <c r="I446" s="4"/>
      <c r="J446" s="4"/>
      <c r="K446" s="30"/>
    </row>
    <row r="447" spans="2:11" s="1" customFormat="1" ht="15.75">
      <c r="B447" s="21"/>
      <c r="C447" s="12"/>
      <c r="D447" s="12"/>
      <c r="E447" s="11"/>
      <c r="F447" s="4"/>
      <c r="G447" s="4"/>
      <c r="H447" s="4"/>
      <c r="I447" s="4"/>
      <c r="J447" s="4"/>
      <c r="K447" s="30"/>
    </row>
    <row r="448" spans="2:11" s="1" customFormat="1" ht="15.75">
      <c r="B448" s="21"/>
      <c r="C448" s="12"/>
      <c r="D448" s="12"/>
      <c r="E448" s="11"/>
      <c r="F448" s="4"/>
      <c r="G448" s="4"/>
      <c r="H448" s="4"/>
      <c r="I448" s="4"/>
      <c r="J448" s="4"/>
      <c r="K448" s="30"/>
    </row>
    <row r="449" spans="2:11" s="1" customFormat="1" ht="15.75">
      <c r="B449" s="21"/>
      <c r="C449" s="12"/>
      <c r="D449" s="12"/>
      <c r="E449" s="11"/>
      <c r="F449" s="4"/>
      <c r="G449" s="4"/>
      <c r="H449" s="4"/>
      <c r="I449" s="4"/>
      <c r="J449" s="4"/>
      <c r="K449" s="30"/>
    </row>
    <row r="450" spans="2:11" s="1" customFormat="1" ht="15.75">
      <c r="B450" s="21"/>
      <c r="C450" s="12"/>
      <c r="D450" s="12"/>
      <c r="E450" s="11"/>
      <c r="F450" s="4"/>
      <c r="G450" s="4"/>
      <c r="H450" s="4"/>
      <c r="I450" s="4"/>
      <c r="J450" s="4"/>
      <c r="K450" s="30"/>
    </row>
    <row r="451" spans="2:11" s="1" customFormat="1" ht="15.75">
      <c r="B451" s="21"/>
      <c r="C451" s="12"/>
      <c r="D451" s="12"/>
      <c r="E451" s="11"/>
      <c r="F451" s="4"/>
      <c r="G451" s="4"/>
      <c r="H451" s="4"/>
      <c r="I451" s="4"/>
      <c r="J451" s="4"/>
      <c r="K451" s="30"/>
    </row>
    <row r="452" spans="2:11" s="1" customFormat="1" ht="15.75">
      <c r="B452" s="21"/>
      <c r="C452" s="12"/>
      <c r="D452" s="12"/>
      <c r="E452" s="11"/>
      <c r="F452" s="4"/>
      <c r="G452" s="4"/>
      <c r="H452" s="4"/>
      <c r="I452" s="4"/>
      <c r="J452" s="4"/>
      <c r="K452" s="30"/>
    </row>
    <row r="453" spans="2:11" s="1" customFormat="1" ht="15.75">
      <c r="B453" s="21"/>
      <c r="C453" s="12"/>
      <c r="D453" s="12"/>
      <c r="E453" s="11"/>
      <c r="F453" s="4"/>
      <c r="G453" s="4"/>
      <c r="H453" s="4"/>
      <c r="I453" s="4"/>
      <c r="J453" s="4"/>
      <c r="K453" s="30"/>
    </row>
    <row r="454" spans="2:11" s="1" customFormat="1" ht="15.75">
      <c r="B454" s="21"/>
      <c r="C454" s="12"/>
      <c r="D454" s="12"/>
      <c r="E454" s="11"/>
      <c r="F454" s="4"/>
      <c r="G454" s="4"/>
      <c r="H454" s="4"/>
      <c r="I454" s="4"/>
      <c r="J454" s="4"/>
      <c r="K454" s="30"/>
    </row>
    <row r="455" spans="2:11" s="1" customFormat="1" ht="15.75">
      <c r="B455" s="21"/>
      <c r="C455" s="12"/>
      <c r="D455" s="12"/>
      <c r="E455" s="11"/>
      <c r="F455" s="4"/>
      <c r="G455" s="4"/>
      <c r="H455" s="4"/>
      <c r="I455" s="4"/>
      <c r="J455" s="4"/>
      <c r="K455" s="30"/>
    </row>
    <row r="456" spans="2:11" s="1" customFormat="1" ht="15.75">
      <c r="B456" s="21"/>
      <c r="C456" s="12"/>
      <c r="D456" s="12"/>
      <c r="E456" s="11"/>
      <c r="F456" s="4"/>
      <c r="G456" s="4"/>
      <c r="H456" s="4"/>
      <c r="I456" s="4"/>
      <c r="J456" s="4"/>
      <c r="K456" s="30"/>
    </row>
    <row r="457" spans="2:11" s="1" customFormat="1" ht="15.75">
      <c r="B457" s="21"/>
      <c r="C457" s="12"/>
      <c r="D457" s="12"/>
      <c r="E457" s="11"/>
      <c r="F457" s="4"/>
      <c r="G457" s="4"/>
      <c r="H457" s="4"/>
      <c r="I457" s="4"/>
      <c r="J457" s="4"/>
      <c r="K457" s="30"/>
    </row>
    <row r="458" spans="2:11" s="1" customFormat="1" ht="15.75">
      <c r="B458" s="21"/>
      <c r="C458" s="12"/>
      <c r="D458" s="12"/>
      <c r="E458" s="11"/>
      <c r="F458" s="4"/>
      <c r="G458" s="4"/>
      <c r="H458" s="4"/>
      <c r="I458" s="4"/>
      <c r="J458" s="4"/>
      <c r="K458" s="30"/>
    </row>
    <row r="459" spans="2:11" s="1" customFormat="1" ht="15.75">
      <c r="B459" s="21"/>
      <c r="C459" s="12"/>
      <c r="D459" s="12"/>
      <c r="E459" s="11"/>
      <c r="F459" s="4"/>
      <c r="G459" s="4"/>
      <c r="H459" s="4"/>
      <c r="I459" s="4"/>
      <c r="J459" s="4"/>
      <c r="K459" s="30"/>
    </row>
    <row r="460" spans="2:11" s="1" customFormat="1" ht="15.75">
      <c r="B460" s="21"/>
      <c r="C460" s="12"/>
      <c r="D460" s="12"/>
      <c r="E460" s="11"/>
      <c r="F460" s="4"/>
      <c r="G460" s="4"/>
      <c r="H460" s="4"/>
      <c r="I460" s="4"/>
      <c r="J460" s="4"/>
      <c r="K460" s="30"/>
    </row>
    <row r="461" spans="2:11" s="1" customFormat="1" ht="15.75">
      <c r="B461" s="21"/>
      <c r="C461" s="12"/>
      <c r="D461" s="12"/>
      <c r="E461" s="11"/>
      <c r="F461" s="4"/>
      <c r="G461" s="4"/>
      <c r="H461" s="4"/>
      <c r="I461" s="4"/>
      <c r="J461" s="4"/>
      <c r="K461" s="30"/>
    </row>
    <row r="462" spans="2:11" s="1" customFormat="1" ht="15.75">
      <c r="B462" s="21"/>
      <c r="C462" s="12"/>
      <c r="D462" s="12"/>
      <c r="E462" s="11"/>
      <c r="F462" s="4"/>
      <c r="G462" s="4"/>
      <c r="H462" s="4"/>
      <c r="I462" s="4"/>
      <c r="J462" s="4"/>
      <c r="K462" s="30"/>
    </row>
    <row r="463" spans="2:11" s="1" customFormat="1" ht="15.75">
      <c r="B463" s="21"/>
      <c r="C463" s="12"/>
      <c r="D463" s="12"/>
      <c r="E463" s="11"/>
      <c r="F463" s="4"/>
      <c r="G463" s="4"/>
      <c r="H463" s="4"/>
      <c r="I463" s="4"/>
      <c r="J463" s="4"/>
      <c r="K463" s="30"/>
    </row>
    <row r="464" spans="2:11" s="1" customFormat="1" ht="15.75">
      <c r="B464" s="21"/>
      <c r="C464" s="12"/>
      <c r="D464" s="12"/>
      <c r="E464" s="11"/>
      <c r="F464" s="4"/>
      <c r="G464" s="4"/>
      <c r="H464" s="4"/>
      <c r="I464" s="4"/>
      <c r="J464" s="4"/>
      <c r="K464" s="30"/>
    </row>
    <row r="465" spans="2:11" s="1" customFormat="1" ht="15.75">
      <c r="B465" s="21"/>
      <c r="C465" s="12"/>
      <c r="D465" s="12"/>
      <c r="E465" s="11"/>
      <c r="F465" s="4"/>
      <c r="G465" s="4"/>
      <c r="H465" s="4"/>
      <c r="I465" s="4"/>
      <c r="J465" s="4"/>
      <c r="K465" s="30"/>
    </row>
    <row r="466" spans="2:11" s="1" customFormat="1" ht="15.75">
      <c r="B466" s="21"/>
      <c r="C466" s="12"/>
      <c r="D466" s="12"/>
      <c r="E466" s="11"/>
      <c r="F466" s="4"/>
      <c r="G466" s="4"/>
      <c r="H466" s="4"/>
      <c r="I466" s="4"/>
      <c r="J466" s="4"/>
      <c r="K466" s="30"/>
    </row>
    <row r="467" spans="2:11" s="1" customFormat="1" ht="15.75">
      <c r="B467" s="21"/>
      <c r="C467" s="12"/>
      <c r="D467" s="12"/>
      <c r="E467" s="11"/>
      <c r="F467" s="4"/>
      <c r="G467" s="4"/>
      <c r="H467" s="4"/>
      <c r="I467" s="4"/>
      <c r="J467" s="4"/>
      <c r="K467" s="30"/>
    </row>
    <row r="468" spans="2:11" s="1" customFormat="1" ht="15.75">
      <c r="B468" s="21"/>
      <c r="C468" s="12"/>
      <c r="D468" s="12"/>
      <c r="E468" s="11"/>
      <c r="F468" s="4"/>
      <c r="G468" s="4"/>
      <c r="H468" s="4"/>
      <c r="I468" s="4"/>
      <c r="J468" s="4"/>
      <c r="K468" s="30"/>
    </row>
    <row r="469" spans="2:11" s="1" customFormat="1" ht="15.75">
      <c r="B469" s="21"/>
      <c r="C469" s="12"/>
      <c r="D469" s="12"/>
      <c r="E469" s="11"/>
      <c r="F469" s="4"/>
      <c r="G469" s="4"/>
      <c r="H469" s="4"/>
      <c r="I469" s="4"/>
      <c r="J469" s="4"/>
      <c r="K469" s="30"/>
    </row>
    <row r="470" spans="2:11" s="1" customFormat="1" ht="15.75">
      <c r="B470" s="21"/>
      <c r="C470" s="12"/>
      <c r="D470" s="12"/>
      <c r="E470" s="11"/>
      <c r="F470" s="4"/>
      <c r="G470" s="4"/>
      <c r="H470" s="4"/>
      <c r="I470" s="4"/>
      <c r="J470" s="4"/>
      <c r="K470" s="30"/>
    </row>
    <row r="471" spans="2:11" s="1" customFormat="1" ht="15.75">
      <c r="B471" s="21"/>
      <c r="C471" s="12"/>
      <c r="D471" s="12"/>
      <c r="E471" s="11"/>
      <c r="F471" s="4"/>
      <c r="G471" s="4"/>
      <c r="H471" s="4"/>
      <c r="I471" s="4"/>
      <c r="J471" s="4"/>
      <c r="K471" s="30"/>
    </row>
    <row r="472" spans="2:11" s="1" customFormat="1" ht="15.75">
      <c r="B472" s="21"/>
      <c r="C472" s="12"/>
      <c r="D472" s="12"/>
      <c r="E472" s="11"/>
      <c r="F472" s="4"/>
      <c r="G472" s="4"/>
      <c r="H472" s="4"/>
      <c r="I472" s="4"/>
      <c r="J472" s="4"/>
      <c r="K472" s="30"/>
    </row>
    <row r="473" spans="2:11" s="1" customFormat="1" ht="15.75">
      <c r="B473" s="21"/>
      <c r="C473" s="12"/>
      <c r="D473" s="12"/>
      <c r="E473" s="11"/>
      <c r="F473" s="4"/>
      <c r="G473" s="4"/>
      <c r="H473" s="4"/>
      <c r="I473" s="4"/>
      <c r="J473" s="4"/>
      <c r="K473" s="30"/>
    </row>
    <row r="474" spans="2:11" s="1" customFormat="1" ht="15.75">
      <c r="B474" s="21"/>
      <c r="C474" s="12"/>
      <c r="D474" s="12"/>
      <c r="E474" s="11"/>
      <c r="F474" s="4"/>
      <c r="G474" s="4"/>
      <c r="H474" s="4"/>
      <c r="I474" s="4"/>
      <c r="J474" s="4"/>
      <c r="K474" s="30"/>
    </row>
    <row r="475" spans="2:11" s="1" customFormat="1" ht="15.75">
      <c r="B475" s="21"/>
      <c r="C475" s="12"/>
      <c r="D475" s="12"/>
      <c r="E475" s="11"/>
      <c r="F475" s="4"/>
      <c r="G475" s="4"/>
      <c r="H475" s="4"/>
      <c r="I475" s="4"/>
      <c r="J475" s="4"/>
      <c r="K475" s="30"/>
    </row>
    <row r="476" spans="2:11" s="1" customFormat="1" ht="15.75">
      <c r="B476" s="21"/>
      <c r="C476" s="12"/>
      <c r="D476" s="12"/>
      <c r="E476" s="11"/>
      <c r="F476" s="4"/>
      <c r="G476" s="4"/>
      <c r="H476" s="4"/>
      <c r="I476" s="4"/>
      <c r="J476" s="4"/>
      <c r="K476" s="30"/>
    </row>
    <row r="477" spans="2:11" s="1" customFormat="1" ht="15.75">
      <c r="B477" s="21"/>
      <c r="C477" s="12"/>
      <c r="D477" s="12"/>
      <c r="E477" s="11"/>
      <c r="F477" s="4"/>
      <c r="G477" s="4"/>
      <c r="H477" s="4"/>
      <c r="I477" s="4"/>
      <c r="J477" s="4"/>
      <c r="K477" s="30"/>
    </row>
    <row r="478" spans="2:11" s="1" customFormat="1" ht="15.75">
      <c r="B478" s="21"/>
      <c r="C478" s="12"/>
      <c r="D478" s="12"/>
      <c r="E478" s="11"/>
      <c r="F478" s="4"/>
      <c r="G478" s="4"/>
      <c r="H478" s="4"/>
      <c r="I478" s="4"/>
      <c r="J478" s="4"/>
      <c r="K478" s="30"/>
    </row>
    <row r="479" spans="2:11" s="1" customFormat="1" ht="15.75">
      <c r="B479" s="21"/>
      <c r="C479" s="12"/>
      <c r="D479" s="12"/>
      <c r="E479" s="11"/>
      <c r="F479" s="4"/>
      <c r="G479" s="4"/>
      <c r="H479" s="4"/>
      <c r="I479" s="4"/>
      <c r="J479" s="4"/>
      <c r="K479" s="30"/>
    </row>
    <row r="480" spans="2:11" s="1" customFormat="1" ht="15.75">
      <c r="B480" s="21"/>
      <c r="C480" s="12"/>
      <c r="D480" s="12"/>
      <c r="E480" s="11"/>
      <c r="F480" s="4"/>
      <c r="G480" s="4"/>
      <c r="H480" s="4"/>
      <c r="I480" s="4"/>
      <c r="J480" s="4"/>
      <c r="K480" s="30"/>
    </row>
    <row r="481" spans="2:11" s="1" customFormat="1" ht="15.75">
      <c r="B481" s="21"/>
      <c r="C481" s="12"/>
      <c r="D481" s="12"/>
      <c r="E481" s="11"/>
      <c r="F481" s="4"/>
      <c r="G481" s="4"/>
      <c r="H481" s="4"/>
      <c r="I481" s="4"/>
      <c r="J481" s="4"/>
      <c r="K481" s="30"/>
    </row>
    <row r="482" spans="2:11" s="1" customFormat="1" ht="15.75">
      <c r="B482" s="21"/>
      <c r="C482" s="12"/>
      <c r="D482" s="12"/>
      <c r="E482" s="11"/>
      <c r="F482" s="4"/>
      <c r="G482" s="4"/>
      <c r="H482" s="4"/>
      <c r="I482" s="4"/>
      <c r="J482" s="4"/>
      <c r="K482" s="30"/>
    </row>
    <row r="483" spans="2:11" s="1" customFormat="1" ht="15.75">
      <c r="B483" s="21"/>
      <c r="C483" s="12"/>
      <c r="D483" s="12"/>
      <c r="E483" s="11"/>
      <c r="F483" s="4"/>
      <c r="G483" s="4"/>
      <c r="H483" s="4"/>
      <c r="I483" s="4"/>
      <c r="J483" s="4"/>
      <c r="K483" s="30"/>
    </row>
    <row r="484" spans="2:11" s="1" customFormat="1" ht="15.75">
      <c r="B484" s="21"/>
      <c r="C484" s="12"/>
      <c r="D484" s="12"/>
      <c r="E484" s="11"/>
      <c r="F484" s="4"/>
      <c r="G484" s="4"/>
      <c r="H484" s="4"/>
      <c r="I484" s="4"/>
      <c r="J484" s="4"/>
      <c r="K484" s="30"/>
    </row>
    <row r="485" spans="2:11" s="1" customFormat="1" ht="15.75">
      <c r="B485" s="21"/>
      <c r="C485" s="12"/>
      <c r="D485" s="12"/>
      <c r="E485" s="11"/>
      <c r="F485" s="4"/>
      <c r="G485" s="4"/>
      <c r="H485" s="4"/>
      <c r="I485" s="4"/>
      <c r="J485" s="4"/>
      <c r="K485" s="30"/>
    </row>
    <row r="486" spans="2:11" s="1" customFormat="1" ht="15.75">
      <c r="B486" s="21"/>
      <c r="C486" s="12"/>
      <c r="D486" s="12"/>
      <c r="E486" s="11"/>
      <c r="F486" s="4"/>
      <c r="G486" s="4"/>
      <c r="H486" s="4"/>
      <c r="I486" s="4"/>
      <c r="J486" s="4"/>
      <c r="K486" s="30"/>
    </row>
    <row r="487" spans="2:11" s="1" customFormat="1" ht="15.75">
      <c r="B487" s="21"/>
      <c r="C487" s="12"/>
      <c r="D487" s="12"/>
      <c r="E487" s="11"/>
      <c r="F487" s="4"/>
      <c r="G487" s="4"/>
      <c r="H487" s="4"/>
      <c r="I487" s="4"/>
      <c r="J487" s="4"/>
      <c r="K487" s="30"/>
    </row>
    <row r="488" spans="2:11" s="1" customFormat="1" ht="15.75">
      <c r="B488" s="21"/>
      <c r="C488" s="12"/>
      <c r="D488" s="12"/>
      <c r="E488" s="11"/>
      <c r="F488" s="4"/>
      <c r="G488" s="4"/>
      <c r="H488" s="4"/>
      <c r="I488" s="4"/>
      <c r="J488" s="4"/>
      <c r="K488" s="30"/>
    </row>
    <row r="489" spans="2:11" s="1" customFormat="1" ht="15.75">
      <c r="B489" s="21"/>
      <c r="C489" s="12"/>
      <c r="D489" s="12"/>
      <c r="E489" s="11"/>
      <c r="F489" s="4"/>
      <c r="G489" s="4"/>
      <c r="H489" s="4"/>
      <c r="I489" s="4"/>
      <c r="J489" s="4"/>
      <c r="K489" s="30"/>
    </row>
    <row r="490" spans="2:11" s="1" customFormat="1" ht="15.75">
      <c r="B490" s="21"/>
      <c r="C490" s="12"/>
      <c r="D490" s="12"/>
      <c r="E490" s="11"/>
      <c r="F490" s="4"/>
      <c r="G490" s="4"/>
      <c r="H490" s="4"/>
      <c r="I490" s="4"/>
      <c r="J490" s="4"/>
      <c r="K490" s="30"/>
    </row>
    <row r="491" spans="2:11" s="1" customFormat="1" ht="15.75">
      <c r="B491" s="21"/>
      <c r="C491" s="12"/>
      <c r="D491" s="12"/>
      <c r="E491" s="11"/>
      <c r="F491" s="4"/>
      <c r="G491" s="4"/>
      <c r="H491" s="4"/>
      <c r="I491" s="4"/>
      <c r="J491" s="4"/>
      <c r="K491" s="30"/>
    </row>
    <row r="492" spans="2:11" s="1" customFormat="1" ht="15.75">
      <c r="B492" s="21"/>
      <c r="C492" s="12"/>
      <c r="D492" s="12"/>
      <c r="E492" s="11"/>
      <c r="F492" s="4"/>
      <c r="G492" s="4"/>
      <c r="H492" s="4"/>
      <c r="I492" s="4"/>
      <c r="J492" s="4"/>
      <c r="K492" s="30"/>
    </row>
    <row r="493" spans="2:11" s="1" customFormat="1" ht="15.75">
      <c r="B493" s="21"/>
      <c r="C493" s="12"/>
      <c r="D493" s="12"/>
      <c r="E493" s="11"/>
      <c r="F493" s="4"/>
      <c r="G493" s="4"/>
      <c r="H493" s="4"/>
      <c r="I493" s="4"/>
      <c r="J493" s="4"/>
      <c r="K493" s="30"/>
    </row>
    <row r="494" spans="2:11" s="1" customFormat="1" ht="15.75">
      <c r="B494" s="21"/>
      <c r="C494" s="12"/>
      <c r="D494" s="12"/>
      <c r="E494" s="11"/>
      <c r="F494" s="4"/>
      <c r="G494" s="4"/>
      <c r="H494" s="4"/>
      <c r="I494" s="4"/>
      <c r="J494" s="4"/>
      <c r="K494" s="30"/>
    </row>
    <row r="495" spans="2:11" s="1" customFormat="1" ht="15.75">
      <c r="B495" s="21"/>
      <c r="C495" s="12"/>
      <c r="D495" s="12"/>
      <c r="E495" s="11"/>
      <c r="F495" s="4"/>
      <c r="G495" s="4"/>
      <c r="H495" s="4"/>
      <c r="I495" s="4"/>
      <c r="J495" s="4"/>
      <c r="K495" s="30"/>
    </row>
    <row r="496" spans="2:11" s="1" customFormat="1" ht="15.75">
      <c r="B496" s="21"/>
      <c r="C496" s="12"/>
      <c r="D496" s="12"/>
      <c r="E496" s="11"/>
      <c r="F496" s="4"/>
      <c r="G496" s="4"/>
      <c r="H496" s="4"/>
      <c r="I496" s="4"/>
      <c r="J496" s="4"/>
      <c r="K496" s="30"/>
    </row>
    <row r="497" spans="2:11" s="1" customFormat="1" ht="15.75">
      <c r="B497" s="21"/>
      <c r="C497" s="12"/>
      <c r="D497" s="12"/>
      <c r="E497" s="11"/>
      <c r="F497" s="4"/>
      <c r="G497" s="4"/>
      <c r="H497" s="4"/>
      <c r="I497" s="4"/>
      <c r="J497" s="4"/>
      <c r="K497" s="30"/>
    </row>
    <row r="498" spans="2:11" s="1" customFormat="1" ht="15.75">
      <c r="B498" s="21"/>
      <c r="C498" s="12"/>
      <c r="D498" s="12"/>
      <c r="E498" s="11"/>
      <c r="F498" s="4"/>
      <c r="G498" s="4"/>
      <c r="H498" s="4"/>
      <c r="I498" s="4"/>
      <c r="J498" s="4"/>
      <c r="K498" s="30"/>
    </row>
    <row r="499" spans="2:11" s="1" customFormat="1" ht="15.75">
      <c r="B499" s="21"/>
      <c r="C499" s="12"/>
      <c r="D499" s="12"/>
      <c r="E499" s="11"/>
      <c r="F499" s="4"/>
      <c r="G499" s="4"/>
      <c r="H499" s="4"/>
      <c r="I499" s="4"/>
      <c r="J499" s="4"/>
      <c r="K499" s="30"/>
    </row>
    <row r="500" spans="2:11" s="1" customFormat="1" ht="15.75">
      <c r="B500" s="21"/>
      <c r="C500" s="12"/>
      <c r="D500" s="12"/>
      <c r="E500" s="11"/>
      <c r="F500" s="4"/>
      <c r="G500" s="4"/>
      <c r="H500" s="4"/>
      <c r="I500" s="4"/>
      <c r="J500" s="4"/>
      <c r="K500" s="30"/>
    </row>
    <row r="501" spans="2:11" s="1" customFormat="1" ht="15.75">
      <c r="B501" s="21"/>
      <c r="C501" s="12"/>
      <c r="D501" s="12"/>
      <c r="E501" s="11"/>
      <c r="F501" s="4"/>
      <c r="G501" s="4"/>
      <c r="H501" s="4"/>
      <c r="I501" s="4"/>
      <c r="J501" s="4"/>
      <c r="K501" s="30"/>
    </row>
    <row r="502" spans="2:11" s="1" customFormat="1" ht="15.75">
      <c r="B502" s="21"/>
      <c r="C502" s="12"/>
      <c r="D502" s="12"/>
      <c r="E502" s="11"/>
      <c r="F502" s="4"/>
      <c r="G502" s="4"/>
      <c r="H502" s="4"/>
      <c r="I502" s="4"/>
      <c r="J502" s="4"/>
      <c r="K502" s="30"/>
    </row>
    <row r="503" spans="2:11" s="1" customFormat="1" ht="15.75">
      <c r="B503" s="21"/>
      <c r="C503" s="12"/>
      <c r="D503" s="12"/>
      <c r="E503" s="11"/>
      <c r="F503" s="4"/>
      <c r="G503" s="4"/>
      <c r="H503" s="4"/>
      <c r="I503" s="4"/>
      <c r="J503" s="4"/>
      <c r="K503" s="30"/>
    </row>
    <row r="504" spans="2:11" s="1" customFormat="1" ht="15.75">
      <c r="B504" s="21"/>
      <c r="C504" s="12"/>
      <c r="D504" s="12"/>
      <c r="E504" s="11"/>
      <c r="F504" s="4"/>
      <c r="G504" s="4"/>
      <c r="H504" s="4"/>
      <c r="I504" s="4"/>
      <c r="J504" s="4"/>
      <c r="K504" s="30"/>
    </row>
    <row r="505" spans="2:11" s="1" customFormat="1" ht="15.75">
      <c r="B505" s="21"/>
      <c r="C505" s="12"/>
      <c r="D505" s="12"/>
      <c r="E505" s="11"/>
      <c r="F505" s="4"/>
      <c r="G505" s="4"/>
      <c r="H505" s="4"/>
      <c r="I505" s="4"/>
      <c r="J505" s="4"/>
      <c r="K505" s="30"/>
    </row>
    <row r="506" spans="2:11" s="1" customFormat="1" ht="15.75">
      <c r="B506" s="21"/>
      <c r="C506" s="12"/>
      <c r="D506" s="12"/>
      <c r="E506" s="11"/>
      <c r="F506" s="4"/>
      <c r="G506" s="4"/>
      <c r="H506" s="4"/>
      <c r="I506" s="4"/>
      <c r="J506" s="4"/>
      <c r="K506" s="30"/>
    </row>
    <row r="507" spans="2:11" s="1" customFormat="1" ht="15.75">
      <c r="B507" s="21"/>
      <c r="C507" s="12"/>
      <c r="D507" s="12"/>
      <c r="E507" s="11"/>
      <c r="F507" s="4"/>
      <c r="G507" s="4"/>
      <c r="H507" s="4"/>
      <c r="I507" s="4"/>
      <c r="J507" s="4"/>
      <c r="K507" s="30"/>
    </row>
    <row r="508" spans="2:11" s="1" customFormat="1" ht="15.75">
      <c r="B508" s="21"/>
      <c r="C508" s="12"/>
      <c r="D508" s="12"/>
      <c r="E508" s="11"/>
      <c r="F508" s="4"/>
      <c r="G508" s="4"/>
      <c r="H508" s="4"/>
      <c r="I508" s="4"/>
      <c r="J508" s="4"/>
      <c r="K508" s="30"/>
    </row>
    <row r="509" spans="2:11" s="1" customFormat="1" ht="15.75">
      <c r="B509" s="21"/>
      <c r="C509" s="12"/>
      <c r="D509" s="12"/>
      <c r="E509" s="11"/>
      <c r="F509" s="4"/>
      <c r="G509" s="4"/>
      <c r="H509" s="4"/>
      <c r="I509" s="4"/>
      <c r="J509" s="4"/>
      <c r="K509" s="30"/>
    </row>
    <row r="510" spans="2:11" s="1" customFormat="1" ht="15.75">
      <c r="B510" s="21"/>
      <c r="C510" s="12"/>
      <c r="D510" s="12"/>
      <c r="E510" s="11"/>
      <c r="F510" s="4"/>
      <c r="G510" s="4"/>
      <c r="H510" s="4"/>
      <c r="I510" s="4"/>
      <c r="J510" s="4"/>
      <c r="K510" s="30"/>
    </row>
    <row r="511" spans="2:11" s="1" customFormat="1" ht="15.75">
      <c r="B511" s="21"/>
      <c r="C511" s="12"/>
      <c r="D511" s="12"/>
      <c r="E511" s="11"/>
      <c r="F511" s="4"/>
      <c r="G511" s="4"/>
      <c r="H511" s="4"/>
      <c r="I511" s="4"/>
      <c r="J511" s="4"/>
      <c r="K511" s="30"/>
    </row>
    <row r="512" spans="2:11" s="1" customFormat="1" ht="15.75">
      <c r="B512" s="21"/>
      <c r="C512" s="12"/>
      <c r="D512" s="12"/>
      <c r="E512" s="11"/>
      <c r="F512" s="4"/>
      <c r="G512" s="4"/>
      <c r="H512" s="4"/>
      <c r="I512" s="4"/>
      <c r="J512" s="4"/>
      <c r="K512" s="30"/>
    </row>
    <row r="513" spans="2:11" s="1" customFormat="1" ht="15.75">
      <c r="B513" s="21"/>
      <c r="C513" s="12"/>
      <c r="D513" s="12"/>
      <c r="E513" s="11"/>
      <c r="F513" s="4"/>
      <c r="G513" s="4"/>
      <c r="H513" s="4"/>
      <c r="I513" s="4"/>
      <c r="J513" s="4"/>
      <c r="K513" s="30"/>
    </row>
    <row r="514" spans="2:11" s="1" customFormat="1" ht="15.75">
      <c r="B514" s="21"/>
      <c r="C514" s="12"/>
      <c r="D514" s="12"/>
      <c r="E514" s="11"/>
      <c r="F514" s="4"/>
      <c r="G514" s="4"/>
      <c r="H514" s="4"/>
      <c r="I514" s="4"/>
      <c r="J514" s="4"/>
      <c r="K514" s="30"/>
    </row>
    <row r="515" spans="2:11" s="1" customFormat="1" ht="15.75">
      <c r="B515" s="21"/>
      <c r="C515" s="12"/>
      <c r="D515" s="12"/>
      <c r="E515" s="11"/>
      <c r="F515" s="4"/>
      <c r="G515" s="4"/>
      <c r="H515" s="4"/>
      <c r="I515" s="4"/>
      <c r="J515" s="4"/>
      <c r="K515" s="30"/>
    </row>
    <row r="516" spans="2:11" s="1" customFormat="1" ht="15.75">
      <c r="B516" s="21"/>
      <c r="C516" s="12"/>
      <c r="D516" s="12"/>
      <c r="E516" s="11"/>
      <c r="F516" s="4"/>
      <c r="G516" s="4"/>
      <c r="H516" s="4"/>
      <c r="I516" s="4"/>
      <c r="J516" s="4"/>
      <c r="K516" s="30"/>
    </row>
    <row r="517" spans="2:11" s="1" customFormat="1" ht="15.75">
      <c r="B517" s="21"/>
      <c r="C517" s="12"/>
      <c r="D517" s="12"/>
      <c r="E517" s="11"/>
      <c r="F517" s="4"/>
      <c r="G517" s="4"/>
      <c r="H517" s="4"/>
      <c r="I517" s="4"/>
      <c r="J517" s="4"/>
      <c r="K517" s="30"/>
    </row>
    <row r="518" spans="2:11" s="1" customFormat="1" ht="15.75">
      <c r="B518" s="21"/>
      <c r="C518" s="12"/>
      <c r="D518" s="12"/>
      <c r="E518" s="11"/>
      <c r="F518" s="4"/>
      <c r="G518" s="4"/>
      <c r="H518" s="4"/>
      <c r="I518" s="4"/>
      <c r="J518" s="4"/>
      <c r="K518" s="30"/>
    </row>
    <row r="519" spans="2:11" s="1" customFormat="1" ht="15.75">
      <c r="B519" s="21"/>
      <c r="C519" s="12"/>
      <c r="D519" s="12"/>
      <c r="E519" s="11"/>
      <c r="F519" s="4"/>
      <c r="G519" s="4"/>
      <c r="H519" s="4"/>
      <c r="I519" s="4"/>
      <c r="J519" s="4"/>
      <c r="K519" s="30"/>
    </row>
    <row r="520" spans="2:11" s="1" customFormat="1" ht="15.75">
      <c r="B520" s="21"/>
      <c r="C520" s="12"/>
      <c r="D520" s="12"/>
      <c r="E520" s="11"/>
      <c r="F520" s="4"/>
      <c r="G520" s="4"/>
      <c r="H520" s="4"/>
      <c r="I520" s="4"/>
      <c r="J520" s="4"/>
      <c r="K520" s="30"/>
    </row>
    <row r="521" spans="2:11" s="1" customFormat="1" ht="15.75">
      <c r="B521" s="21"/>
      <c r="C521" s="12"/>
      <c r="D521" s="12"/>
      <c r="E521" s="11"/>
      <c r="F521" s="4"/>
      <c r="G521" s="4"/>
      <c r="H521" s="4"/>
      <c r="I521" s="4"/>
      <c r="J521" s="4"/>
      <c r="K521" s="30"/>
    </row>
    <row r="522" spans="2:11" s="1" customFormat="1" ht="15.75">
      <c r="B522" s="21"/>
      <c r="C522" s="12"/>
      <c r="D522" s="12"/>
      <c r="E522" s="11"/>
      <c r="F522" s="4"/>
      <c r="G522" s="4"/>
      <c r="H522" s="4"/>
      <c r="I522" s="4"/>
      <c r="J522" s="4"/>
      <c r="K522" s="30"/>
    </row>
    <row r="523" spans="2:11" s="1" customFormat="1" ht="15.75">
      <c r="B523" s="21"/>
      <c r="C523" s="12"/>
      <c r="D523" s="12"/>
      <c r="E523" s="11"/>
      <c r="F523" s="4"/>
      <c r="G523" s="4"/>
      <c r="H523" s="4"/>
      <c r="I523" s="4"/>
      <c r="J523" s="4"/>
      <c r="K523" s="30"/>
    </row>
    <row r="524" spans="2:11" s="1" customFormat="1" ht="15.75">
      <c r="B524" s="21"/>
      <c r="C524" s="12"/>
      <c r="D524" s="12"/>
      <c r="E524" s="11"/>
      <c r="F524" s="4"/>
      <c r="G524" s="4"/>
      <c r="H524" s="4"/>
      <c r="I524" s="4"/>
      <c r="J524" s="4"/>
      <c r="K524" s="30"/>
    </row>
    <row r="525" spans="2:11" s="1" customFormat="1" ht="15.75">
      <c r="B525" s="21"/>
      <c r="C525" s="12"/>
      <c r="D525" s="12"/>
      <c r="E525" s="11"/>
      <c r="F525" s="4"/>
      <c r="G525" s="4"/>
      <c r="H525" s="4"/>
      <c r="I525" s="4"/>
      <c r="J525" s="4"/>
      <c r="K525" s="30"/>
    </row>
    <row r="526" spans="2:11" s="1" customFormat="1" ht="15.75">
      <c r="B526" s="21"/>
      <c r="C526" s="12"/>
      <c r="D526" s="12"/>
      <c r="E526" s="11"/>
      <c r="F526" s="4"/>
      <c r="G526" s="4"/>
      <c r="H526" s="4"/>
      <c r="I526" s="4"/>
      <c r="J526" s="4"/>
      <c r="K526" s="30"/>
    </row>
    <row r="527" spans="2:11" s="1" customFormat="1" ht="15.75">
      <c r="B527" s="21"/>
      <c r="C527" s="12"/>
      <c r="D527" s="12"/>
      <c r="E527" s="11"/>
      <c r="F527" s="4"/>
      <c r="G527" s="4"/>
      <c r="H527" s="4"/>
      <c r="I527" s="4"/>
      <c r="J527" s="4"/>
      <c r="K527" s="30"/>
    </row>
    <row r="528" spans="2:11" s="1" customFormat="1" ht="15.75">
      <c r="B528" s="21"/>
      <c r="C528" s="12"/>
      <c r="D528" s="12"/>
      <c r="E528" s="11"/>
      <c r="F528" s="4"/>
      <c r="G528" s="4"/>
      <c r="H528" s="4"/>
      <c r="I528" s="4"/>
      <c r="J528" s="4"/>
      <c r="K528" s="30"/>
    </row>
    <row r="529" spans="2:11" s="1" customFormat="1" ht="15.75">
      <c r="B529" s="21"/>
      <c r="C529" s="12"/>
      <c r="D529" s="12"/>
      <c r="E529" s="11"/>
      <c r="F529" s="4"/>
      <c r="G529" s="4"/>
      <c r="H529" s="4"/>
      <c r="I529" s="4"/>
      <c r="J529" s="4"/>
      <c r="K529" s="30"/>
    </row>
    <row r="530" spans="2:11" s="1" customFormat="1" ht="15.75">
      <c r="B530" s="21"/>
      <c r="C530" s="12"/>
      <c r="D530" s="12"/>
      <c r="E530" s="11"/>
      <c r="F530" s="4"/>
      <c r="G530" s="4"/>
      <c r="H530" s="4"/>
      <c r="I530" s="4"/>
      <c r="J530" s="4"/>
      <c r="K530" s="30"/>
    </row>
    <row r="531" spans="2:11" s="1" customFormat="1" ht="15.75">
      <c r="B531" s="21"/>
      <c r="C531" s="12"/>
      <c r="D531" s="12"/>
      <c r="E531" s="11"/>
      <c r="F531" s="4"/>
      <c r="G531" s="4"/>
      <c r="H531" s="4"/>
      <c r="I531" s="4"/>
      <c r="J531" s="4"/>
      <c r="K531" s="30"/>
    </row>
    <row r="532" spans="2:11" s="1" customFormat="1" ht="15.75">
      <c r="B532" s="21"/>
      <c r="C532" s="12"/>
      <c r="D532" s="12"/>
      <c r="E532" s="11"/>
      <c r="F532" s="4"/>
      <c r="G532" s="4"/>
      <c r="H532" s="4"/>
      <c r="I532" s="4"/>
      <c r="J532" s="4"/>
      <c r="K532" s="30"/>
    </row>
    <row r="533" spans="2:11" s="1" customFormat="1" ht="15.75">
      <c r="B533" s="21"/>
      <c r="C533" s="12"/>
      <c r="D533" s="12"/>
      <c r="E533" s="11"/>
      <c r="F533" s="4"/>
      <c r="G533" s="4"/>
      <c r="H533" s="4"/>
      <c r="I533" s="4"/>
      <c r="J533" s="4"/>
      <c r="K533" s="30"/>
    </row>
    <row r="534" spans="2:11" s="1" customFormat="1" ht="15.75">
      <c r="B534" s="21"/>
      <c r="C534" s="12"/>
      <c r="D534" s="12"/>
      <c r="E534" s="11"/>
      <c r="F534" s="4"/>
      <c r="G534" s="4"/>
      <c r="H534" s="4"/>
      <c r="I534" s="4"/>
      <c r="J534" s="4"/>
      <c r="K534" s="30"/>
    </row>
    <row r="535" spans="2:11" s="1" customFormat="1" ht="15.75">
      <c r="B535" s="21"/>
      <c r="C535" s="12"/>
      <c r="D535" s="12"/>
      <c r="E535" s="11"/>
      <c r="F535" s="4"/>
      <c r="G535" s="4"/>
      <c r="H535" s="4"/>
      <c r="I535" s="4"/>
      <c r="J535" s="4"/>
      <c r="K535" s="30"/>
    </row>
    <row r="536" spans="2:11" s="1" customFormat="1" ht="15.75">
      <c r="B536" s="21"/>
      <c r="C536" s="12"/>
      <c r="D536" s="12"/>
      <c r="E536" s="11"/>
      <c r="F536" s="4"/>
      <c r="G536" s="4"/>
      <c r="H536" s="4"/>
      <c r="I536" s="4"/>
      <c r="J536" s="4"/>
      <c r="K536" s="30"/>
    </row>
    <row r="537" spans="2:11" s="1" customFormat="1" ht="15.75">
      <c r="B537" s="21"/>
      <c r="C537" s="12"/>
      <c r="D537" s="12"/>
      <c r="E537" s="11"/>
      <c r="F537" s="4"/>
      <c r="G537" s="4"/>
      <c r="H537" s="4"/>
      <c r="I537" s="4"/>
      <c r="J537" s="4"/>
      <c r="K537" s="30"/>
    </row>
    <row r="538" spans="2:11" s="1" customFormat="1" ht="15.75">
      <c r="B538" s="21"/>
      <c r="C538" s="12"/>
      <c r="D538" s="12"/>
      <c r="E538" s="11"/>
      <c r="F538" s="4"/>
      <c r="G538" s="4"/>
      <c r="H538" s="4"/>
      <c r="I538" s="4"/>
      <c r="J538" s="4"/>
      <c r="K538" s="30"/>
    </row>
    <row r="539" spans="2:11" s="1" customFormat="1" ht="15.75">
      <c r="B539" s="21"/>
      <c r="C539" s="12"/>
      <c r="D539" s="12"/>
      <c r="E539" s="11"/>
      <c r="F539" s="4"/>
      <c r="G539" s="4"/>
      <c r="H539" s="4"/>
      <c r="I539" s="4"/>
      <c r="J539" s="4"/>
      <c r="K539" s="30"/>
    </row>
    <row r="540" spans="2:11" s="1" customFormat="1" ht="15.75">
      <c r="B540" s="21"/>
      <c r="C540" s="12"/>
      <c r="D540" s="12"/>
      <c r="E540" s="11"/>
      <c r="F540" s="4"/>
      <c r="G540" s="4"/>
      <c r="H540" s="4"/>
      <c r="I540" s="4"/>
      <c r="J540" s="4"/>
      <c r="K540" s="30"/>
    </row>
    <row r="541" spans="2:11" s="1" customFormat="1" ht="15.75">
      <c r="B541" s="21"/>
      <c r="C541" s="12"/>
      <c r="D541" s="12"/>
      <c r="E541" s="11"/>
      <c r="F541" s="4"/>
      <c r="G541" s="4"/>
      <c r="H541" s="4"/>
      <c r="I541" s="4"/>
      <c r="J541" s="4"/>
      <c r="K541" s="30"/>
    </row>
    <row r="542" spans="2:11" s="1" customFormat="1" ht="15.75">
      <c r="B542" s="21"/>
      <c r="C542" s="12"/>
      <c r="D542" s="12"/>
      <c r="E542" s="11"/>
      <c r="F542" s="4"/>
      <c r="G542" s="4"/>
      <c r="H542" s="4"/>
      <c r="I542" s="4"/>
      <c r="J542" s="4"/>
      <c r="K542" s="30"/>
    </row>
    <row r="543" spans="2:11" s="1" customFormat="1" ht="15.75">
      <c r="B543" s="21"/>
      <c r="C543" s="12"/>
      <c r="D543" s="12"/>
      <c r="E543" s="11"/>
      <c r="F543" s="4"/>
      <c r="G543" s="4"/>
      <c r="H543" s="4"/>
      <c r="I543" s="4"/>
      <c r="J543" s="4"/>
      <c r="K543" s="30"/>
    </row>
    <row r="544" spans="2:11" s="1" customFormat="1" ht="15.75">
      <c r="B544" s="21"/>
      <c r="C544" s="12"/>
      <c r="D544" s="12"/>
      <c r="E544" s="11"/>
      <c r="F544" s="4"/>
      <c r="G544" s="4"/>
      <c r="H544" s="4"/>
      <c r="I544" s="4"/>
      <c r="J544" s="4"/>
      <c r="K544" s="30"/>
    </row>
    <row r="545" spans="2:11" s="1" customFormat="1" ht="15.75">
      <c r="B545" s="21"/>
      <c r="C545" s="12"/>
      <c r="D545" s="12"/>
      <c r="E545" s="11"/>
      <c r="F545" s="4"/>
      <c r="G545" s="4"/>
      <c r="H545" s="4"/>
      <c r="I545" s="4"/>
      <c r="J545" s="4"/>
      <c r="K545" s="30"/>
    </row>
    <row r="546" spans="2:11" s="1" customFormat="1" ht="15.75">
      <c r="B546" s="21"/>
      <c r="C546" s="12"/>
      <c r="D546" s="12"/>
      <c r="E546" s="11"/>
      <c r="F546" s="4"/>
      <c r="G546" s="4"/>
      <c r="H546" s="4"/>
      <c r="I546" s="4"/>
      <c r="J546" s="4"/>
      <c r="K546" s="30"/>
    </row>
    <row r="547" spans="2:11" s="1" customFormat="1" ht="15.75">
      <c r="B547" s="21"/>
      <c r="C547" s="12"/>
      <c r="D547" s="12"/>
      <c r="E547" s="11"/>
      <c r="F547" s="4"/>
      <c r="G547" s="4"/>
      <c r="H547" s="4"/>
      <c r="I547" s="4"/>
      <c r="J547" s="4"/>
      <c r="K547" s="30"/>
    </row>
    <row r="548" spans="2:11" s="1" customFormat="1" ht="15.75">
      <c r="B548" s="21"/>
      <c r="C548" s="12"/>
      <c r="D548" s="12"/>
      <c r="E548" s="11"/>
      <c r="F548" s="4"/>
      <c r="G548" s="4"/>
      <c r="H548" s="4"/>
      <c r="I548" s="4"/>
      <c r="J548" s="4"/>
      <c r="K548" s="30"/>
    </row>
    <row r="549" spans="2:11" s="1" customFormat="1" ht="15.75">
      <c r="B549" s="21"/>
      <c r="C549" s="12"/>
      <c r="D549" s="12"/>
      <c r="E549" s="11"/>
      <c r="F549" s="4"/>
      <c r="G549" s="4"/>
      <c r="H549" s="4"/>
      <c r="I549" s="4"/>
      <c r="J549" s="4"/>
      <c r="K549" s="30"/>
    </row>
    <row r="550" spans="2:11" s="1" customFormat="1" ht="15.75">
      <c r="B550" s="21"/>
      <c r="C550" s="12"/>
      <c r="D550" s="12"/>
      <c r="E550" s="11"/>
      <c r="F550" s="4"/>
      <c r="G550" s="4"/>
      <c r="H550" s="4"/>
      <c r="I550" s="4"/>
      <c r="J550" s="4"/>
      <c r="K550" s="30"/>
    </row>
    <row r="551" spans="2:11" s="1" customFormat="1" ht="15.75">
      <c r="B551" s="21"/>
      <c r="C551" s="12"/>
      <c r="D551" s="12"/>
      <c r="E551" s="11"/>
      <c r="F551" s="4"/>
      <c r="G551" s="4"/>
      <c r="H551" s="4"/>
      <c r="I551" s="4"/>
      <c r="J551" s="4"/>
      <c r="K551" s="30"/>
    </row>
    <row r="552" spans="2:11" s="1" customFormat="1" ht="15.75">
      <c r="B552" s="21"/>
      <c r="C552" s="12"/>
      <c r="D552" s="12"/>
      <c r="E552" s="11"/>
      <c r="F552" s="4"/>
      <c r="G552" s="4"/>
      <c r="H552" s="4"/>
      <c r="I552" s="4"/>
      <c r="J552" s="4"/>
      <c r="K552" s="30"/>
    </row>
    <row r="553" spans="2:11" s="1" customFormat="1" ht="15.75">
      <c r="B553" s="21"/>
      <c r="C553" s="12"/>
      <c r="D553" s="12"/>
      <c r="E553" s="11"/>
      <c r="F553" s="4"/>
      <c r="G553" s="4"/>
      <c r="H553" s="4"/>
      <c r="I553" s="4"/>
      <c r="J553" s="4"/>
      <c r="K553" s="30"/>
    </row>
    <row r="554" spans="2:11" s="1" customFormat="1" ht="15.75">
      <c r="B554" s="21"/>
      <c r="C554" s="12"/>
      <c r="D554" s="12"/>
      <c r="E554" s="11"/>
      <c r="F554" s="4"/>
      <c r="G554" s="4"/>
      <c r="H554" s="4"/>
      <c r="I554" s="4"/>
      <c r="J554" s="4"/>
      <c r="K554" s="30"/>
    </row>
    <row r="555" spans="2:11" s="1" customFormat="1" ht="15.75">
      <c r="B555" s="21"/>
      <c r="C555" s="12"/>
      <c r="D555" s="12"/>
      <c r="E555" s="11"/>
      <c r="F555" s="4"/>
      <c r="G555" s="4"/>
      <c r="H555" s="4"/>
      <c r="I555" s="4"/>
      <c r="J555" s="4"/>
      <c r="K555" s="30"/>
    </row>
    <row r="556" spans="2:11" s="1" customFormat="1" ht="15.75">
      <c r="B556" s="21"/>
      <c r="C556" s="12"/>
      <c r="D556" s="12"/>
      <c r="E556" s="11"/>
      <c r="F556" s="4"/>
      <c r="G556" s="4"/>
      <c r="H556" s="4"/>
      <c r="I556" s="4"/>
      <c r="J556" s="4"/>
      <c r="K556" s="30"/>
    </row>
    <row r="557" spans="2:11" s="1" customFormat="1" ht="15.75">
      <c r="B557" s="21"/>
      <c r="C557" s="12"/>
      <c r="D557" s="12"/>
      <c r="E557" s="11"/>
      <c r="F557" s="4"/>
      <c r="G557" s="4"/>
      <c r="H557" s="4"/>
      <c r="I557" s="4"/>
      <c r="J557" s="4"/>
      <c r="K557" s="30"/>
    </row>
    <row r="558" spans="2:11" s="1" customFormat="1" ht="15.75">
      <c r="B558" s="21"/>
      <c r="C558" s="12"/>
      <c r="D558" s="12"/>
      <c r="E558" s="11"/>
      <c r="F558" s="4"/>
      <c r="G558" s="4"/>
      <c r="H558" s="4"/>
      <c r="I558" s="4"/>
      <c r="J558" s="4"/>
      <c r="K558" s="30"/>
    </row>
    <row r="559" spans="2:11" s="1" customFormat="1" ht="15.75">
      <c r="B559" s="21"/>
      <c r="C559" s="12"/>
      <c r="D559" s="12"/>
      <c r="E559" s="11"/>
      <c r="F559" s="4"/>
      <c r="G559" s="4"/>
      <c r="H559" s="4"/>
      <c r="I559" s="4"/>
      <c r="J559" s="4"/>
      <c r="K559" s="30"/>
    </row>
    <row r="560" spans="2:11" s="1" customFormat="1" ht="15.75">
      <c r="B560" s="21"/>
      <c r="C560" s="12"/>
      <c r="D560" s="12"/>
      <c r="E560" s="11"/>
      <c r="F560" s="4"/>
      <c r="G560" s="4"/>
      <c r="H560" s="4"/>
      <c r="I560" s="4"/>
      <c r="J560" s="4"/>
      <c r="K560" s="30"/>
    </row>
    <row r="561" spans="2:11" s="1" customFormat="1" ht="15.75">
      <c r="B561" s="21"/>
      <c r="C561" s="12"/>
      <c r="D561" s="12"/>
      <c r="E561" s="11"/>
      <c r="F561" s="4"/>
      <c r="G561" s="4"/>
      <c r="H561" s="4"/>
      <c r="I561" s="4"/>
      <c r="J561" s="4"/>
      <c r="K561" s="30"/>
    </row>
    <row r="562" spans="2:11" s="1" customFormat="1" ht="15.75">
      <c r="B562" s="21"/>
      <c r="C562" s="12"/>
      <c r="D562" s="12"/>
      <c r="E562" s="11"/>
      <c r="F562" s="4"/>
      <c r="G562" s="4"/>
      <c r="H562" s="4"/>
      <c r="I562" s="4"/>
      <c r="J562" s="4"/>
      <c r="K562" s="30"/>
    </row>
    <row r="563" spans="2:11" s="1" customFormat="1" ht="15.75">
      <c r="B563" s="21"/>
      <c r="C563" s="12"/>
      <c r="D563" s="12"/>
      <c r="E563" s="11"/>
      <c r="F563" s="4"/>
      <c r="G563" s="4"/>
      <c r="H563" s="4"/>
      <c r="I563" s="4"/>
      <c r="J563" s="4"/>
      <c r="K563" s="30"/>
    </row>
    <row r="564" spans="2:11" s="1" customFormat="1" ht="15.75">
      <c r="B564" s="21"/>
      <c r="C564" s="12"/>
      <c r="D564" s="12"/>
      <c r="E564" s="11"/>
      <c r="F564" s="4"/>
      <c r="G564" s="4"/>
      <c r="H564" s="4"/>
      <c r="I564" s="4"/>
      <c r="J564" s="4"/>
      <c r="K564" s="30"/>
    </row>
    <row r="565" spans="2:11" s="1" customFormat="1" ht="15.75">
      <c r="B565" s="21"/>
      <c r="C565" s="12"/>
      <c r="D565" s="12"/>
      <c r="E565" s="11"/>
      <c r="F565" s="4"/>
      <c r="G565" s="4"/>
      <c r="H565" s="4"/>
      <c r="I565" s="4"/>
      <c r="J565" s="4"/>
      <c r="K565" s="30"/>
    </row>
    <row r="566" spans="2:11" s="1" customFormat="1" ht="15.75">
      <c r="B566" s="21"/>
      <c r="C566" s="12"/>
      <c r="D566" s="12"/>
      <c r="E566" s="11"/>
      <c r="F566" s="4"/>
      <c r="G566" s="4"/>
      <c r="H566" s="4"/>
      <c r="I566" s="4"/>
      <c r="J566" s="4"/>
      <c r="K566" s="30"/>
    </row>
    <row r="567" spans="2:11" s="1" customFormat="1" ht="15.75">
      <c r="B567" s="21"/>
      <c r="C567" s="12"/>
      <c r="D567" s="12"/>
      <c r="E567" s="11"/>
      <c r="F567" s="4"/>
      <c r="G567" s="4"/>
      <c r="H567" s="4"/>
      <c r="I567" s="4"/>
      <c r="J567" s="4"/>
      <c r="K567" s="30"/>
    </row>
    <row r="568" spans="2:11" s="1" customFormat="1" ht="15.75">
      <c r="B568" s="21"/>
      <c r="C568" s="12"/>
      <c r="D568" s="12"/>
      <c r="E568" s="11"/>
      <c r="F568" s="4"/>
      <c r="G568" s="4"/>
      <c r="H568" s="4"/>
      <c r="I568" s="4"/>
      <c r="J568" s="4"/>
      <c r="K568" s="30"/>
    </row>
    <row r="569" spans="2:11" s="1" customFormat="1" ht="15.75">
      <c r="B569" s="21"/>
      <c r="C569" s="12"/>
      <c r="D569" s="12"/>
      <c r="E569" s="11"/>
      <c r="F569" s="4"/>
      <c r="G569" s="4"/>
      <c r="H569" s="4"/>
      <c r="I569" s="4"/>
      <c r="J569" s="4"/>
      <c r="K569" s="30"/>
    </row>
    <row r="570" spans="2:11" s="1" customFormat="1" ht="15.75">
      <c r="B570" s="21"/>
      <c r="C570" s="12"/>
      <c r="D570" s="12"/>
      <c r="E570" s="11"/>
      <c r="F570" s="4"/>
      <c r="G570" s="4"/>
      <c r="H570" s="4"/>
      <c r="I570" s="4"/>
      <c r="J570" s="4"/>
      <c r="K570" s="30"/>
    </row>
    <row r="571" spans="2:11" s="1" customFormat="1" ht="15.75">
      <c r="B571" s="21"/>
      <c r="C571" s="12"/>
      <c r="D571" s="12"/>
      <c r="E571" s="11"/>
      <c r="F571" s="4"/>
      <c r="G571" s="4"/>
      <c r="H571" s="4"/>
      <c r="I571" s="4"/>
      <c r="J571" s="4"/>
      <c r="K571" s="30"/>
    </row>
    <row r="572" spans="2:11" s="1" customFormat="1" ht="15.75">
      <c r="B572" s="21"/>
      <c r="C572" s="12"/>
      <c r="D572" s="12"/>
      <c r="E572" s="11"/>
      <c r="F572" s="4"/>
      <c r="G572" s="4"/>
      <c r="H572" s="4"/>
      <c r="I572" s="4"/>
      <c r="J572" s="4"/>
      <c r="K572" s="30"/>
    </row>
    <row r="573" spans="2:11" s="1" customFormat="1" ht="15.75">
      <c r="B573" s="21"/>
      <c r="C573" s="12"/>
      <c r="D573" s="12"/>
      <c r="E573" s="11"/>
      <c r="F573" s="4"/>
      <c r="G573" s="4"/>
      <c r="H573" s="4"/>
      <c r="I573" s="4"/>
      <c r="J573" s="4"/>
      <c r="K573" s="30"/>
    </row>
    <row r="574" spans="2:11" s="1" customFormat="1" ht="15.75">
      <c r="B574" s="21"/>
      <c r="C574" s="12"/>
      <c r="D574" s="12"/>
      <c r="E574" s="11"/>
      <c r="F574" s="4"/>
      <c r="G574" s="4"/>
      <c r="H574" s="4"/>
      <c r="I574" s="4"/>
      <c r="J574" s="4"/>
      <c r="K574" s="30"/>
    </row>
    <row r="575" spans="2:11" s="1" customFormat="1" ht="15.75">
      <c r="B575" s="21"/>
      <c r="C575" s="12"/>
      <c r="D575" s="12"/>
      <c r="E575" s="11"/>
      <c r="F575" s="4"/>
      <c r="G575" s="4"/>
      <c r="H575" s="4"/>
      <c r="I575" s="4"/>
      <c r="J575" s="4"/>
      <c r="K575" s="30"/>
    </row>
    <row r="576" spans="2:11" s="1" customFormat="1" ht="15.75">
      <c r="B576" s="21"/>
      <c r="C576" s="12"/>
      <c r="D576" s="12"/>
      <c r="E576" s="11"/>
      <c r="F576" s="4"/>
      <c r="G576" s="4"/>
      <c r="H576" s="4"/>
      <c r="I576" s="4"/>
      <c r="J576" s="4"/>
      <c r="K576" s="30"/>
    </row>
    <row r="577" spans="2:11" s="1" customFormat="1" ht="15.75">
      <c r="B577" s="21"/>
      <c r="C577" s="12"/>
      <c r="D577" s="12"/>
      <c r="E577" s="11"/>
      <c r="F577" s="4"/>
      <c r="G577" s="4"/>
      <c r="H577" s="4"/>
      <c r="I577" s="4"/>
      <c r="J577" s="4"/>
      <c r="K577" s="30"/>
    </row>
    <row r="578" spans="2:11" s="1" customFormat="1" ht="15.75">
      <c r="B578" s="21"/>
      <c r="C578" s="12"/>
      <c r="D578" s="12"/>
      <c r="E578" s="11"/>
      <c r="F578" s="4"/>
      <c r="G578" s="4"/>
      <c r="H578" s="4"/>
      <c r="I578" s="4"/>
      <c r="J578" s="4"/>
      <c r="K578" s="30"/>
    </row>
    <row r="579" spans="2:11" s="1" customFormat="1" ht="15.75">
      <c r="B579" s="21"/>
      <c r="C579" s="12"/>
      <c r="D579" s="12"/>
      <c r="E579" s="11"/>
      <c r="F579" s="4"/>
      <c r="G579" s="4"/>
      <c r="H579" s="4"/>
      <c r="I579" s="4"/>
      <c r="J579" s="4"/>
      <c r="K579" s="30"/>
    </row>
    <row r="580" spans="2:11" s="1" customFormat="1" ht="15.75">
      <c r="B580" s="21"/>
      <c r="C580" s="12"/>
      <c r="D580" s="12"/>
      <c r="E580" s="11"/>
      <c r="F580" s="4"/>
      <c r="G580" s="4"/>
      <c r="H580" s="4"/>
      <c r="I580" s="4"/>
      <c r="J580" s="4"/>
      <c r="K580" s="30"/>
    </row>
    <row r="581" spans="2:11" s="1" customFormat="1" ht="15.75">
      <c r="B581" s="21"/>
      <c r="C581" s="12"/>
      <c r="D581" s="12"/>
      <c r="E581" s="11"/>
      <c r="F581" s="4"/>
      <c r="G581" s="4"/>
      <c r="H581" s="4"/>
      <c r="I581" s="4"/>
      <c r="J581" s="4"/>
      <c r="K581" s="30"/>
    </row>
    <row r="582" spans="2:11" s="1" customFormat="1" ht="15.75">
      <c r="B582" s="21"/>
      <c r="C582" s="12"/>
      <c r="D582" s="12"/>
      <c r="E582" s="11"/>
      <c r="F582" s="4"/>
      <c r="G582" s="4"/>
      <c r="H582" s="4"/>
      <c r="I582" s="4"/>
      <c r="J582" s="4"/>
      <c r="K582" s="30"/>
    </row>
    <row r="583" spans="2:11" s="1" customFormat="1" ht="15.75">
      <c r="B583" s="21"/>
      <c r="C583" s="12"/>
      <c r="D583" s="12"/>
      <c r="E583" s="11"/>
      <c r="F583" s="4"/>
      <c r="G583" s="4"/>
      <c r="H583" s="4"/>
      <c r="I583" s="4"/>
      <c r="J583" s="4"/>
      <c r="K583" s="30"/>
    </row>
    <row r="584" spans="2:11" s="1" customFormat="1" ht="15.75">
      <c r="B584" s="21"/>
      <c r="C584" s="12"/>
      <c r="D584" s="12"/>
      <c r="E584" s="11"/>
      <c r="F584" s="4"/>
      <c r="G584" s="4"/>
      <c r="H584" s="4"/>
      <c r="I584" s="4"/>
      <c r="J584" s="4"/>
      <c r="K584" s="30"/>
    </row>
    <row r="585" spans="2:11" s="1" customFormat="1" ht="15.75">
      <c r="B585" s="21"/>
      <c r="C585" s="12"/>
      <c r="D585" s="12"/>
      <c r="E585" s="11"/>
      <c r="F585" s="4"/>
      <c r="G585" s="4"/>
      <c r="H585" s="4"/>
      <c r="I585" s="4"/>
      <c r="J585" s="4"/>
      <c r="K585" s="30"/>
    </row>
    <row r="586" spans="2:11" s="1" customFormat="1" ht="15.75">
      <c r="B586" s="21"/>
      <c r="C586" s="12"/>
      <c r="D586" s="12"/>
      <c r="E586" s="11"/>
      <c r="F586" s="4"/>
      <c r="G586" s="4"/>
      <c r="H586" s="4"/>
      <c r="I586" s="4"/>
      <c r="J586" s="4"/>
      <c r="K586" s="30"/>
    </row>
    <row r="587" spans="2:11" s="1" customFormat="1" ht="15.75">
      <c r="B587" s="21"/>
      <c r="C587" s="12"/>
      <c r="D587" s="12"/>
      <c r="E587" s="11"/>
      <c r="F587" s="4"/>
      <c r="G587" s="4"/>
      <c r="H587" s="4"/>
      <c r="I587" s="4"/>
      <c r="J587" s="4"/>
      <c r="K587" s="30"/>
    </row>
    <row r="588" spans="2:11" s="1" customFormat="1" ht="15.75">
      <c r="B588" s="21"/>
      <c r="C588" s="12"/>
      <c r="D588" s="12"/>
      <c r="E588" s="11"/>
      <c r="F588" s="4"/>
      <c r="G588" s="4"/>
      <c r="H588" s="4"/>
      <c r="I588" s="4"/>
      <c r="J588" s="4"/>
      <c r="K588" s="30"/>
    </row>
    <row r="589" spans="2:11" s="1" customFormat="1" ht="15.75">
      <c r="B589" s="21"/>
      <c r="C589" s="12"/>
      <c r="D589" s="12"/>
      <c r="E589" s="11"/>
      <c r="F589" s="4"/>
      <c r="G589" s="4"/>
      <c r="H589" s="4"/>
      <c r="I589" s="4"/>
      <c r="J589" s="4"/>
      <c r="K589" s="30"/>
    </row>
    <row r="590" spans="2:11" s="1" customFormat="1" ht="15.75">
      <c r="B590" s="21"/>
      <c r="C590" s="12"/>
      <c r="D590" s="12"/>
      <c r="E590" s="11"/>
      <c r="F590" s="4"/>
      <c r="G590" s="4"/>
      <c r="H590" s="4"/>
      <c r="I590" s="4"/>
      <c r="J590" s="4"/>
      <c r="K590" s="30"/>
    </row>
    <row r="591" spans="2:11" s="1" customFormat="1" ht="15.75">
      <c r="B591" s="21"/>
      <c r="C591" s="12"/>
      <c r="D591" s="12"/>
      <c r="E591" s="11"/>
      <c r="F591" s="4"/>
      <c r="G591" s="4"/>
      <c r="H591" s="4"/>
      <c r="I591" s="4"/>
      <c r="J591" s="4"/>
      <c r="K591" s="30"/>
    </row>
    <row r="592" spans="2:11" s="1" customFormat="1" ht="15.75">
      <c r="B592" s="21"/>
      <c r="C592" s="12"/>
      <c r="D592" s="12"/>
      <c r="E592" s="11"/>
      <c r="F592" s="4"/>
      <c r="G592" s="4"/>
      <c r="H592" s="4"/>
      <c r="I592" s="4"/>
      <c r="J592" s="4"/>
      <c r="K592" s="30"/>
    </row>
    <row r="593" spans="2:11" s="1" customFormat="1" ht="15.75">
      <c r="B593" s="21"/>
      <c r="C593" s="12"/>
      <c r="D593" s="12"/>
      <c r="E593" s="11"/>
      <c r="F593" s="4"/>
      <c r="G593" s="4"/>
      <c r="H593" s="4"/>
      <c r="I593" s="4"/>
      <c r="J593" s="4"/>
      <c r="K593" s="30"/>
    </row>
    <row r="594" spans="2:11" s="1" customFormat="1" ht="15.75">
      <c r="B594" s="21"/>
      <c r="C594" s="12"/>
      <c r="D594" s="12"/>
      <c r="E594" s="11"/>
      <c r="F594" s="4"/>
      <c r="G594" s="4"/>
      <c r="H594" s="4"/>
      <c r="I594" s="4"/>
      <c r="J594" s="4"/>
      <c r="K594" s="30"/>
    </row>
    <row r="595" spans="2:11" s="1" customFormat="1" ht="15.75">
      <c r="B595" s="21"/>
      <c r="C595" s="12"/>
      <c r="D595" s="12"/>
      <c r="E595" s="11"/>
      <c r="F595" s="4"/>
      <c r="G595" s="4"/>
      <c r="H595" s="4"/>
      <c r="I595" s="4"/>
      <c r="J595" s="4"/>
      <c r="K595" s="30"/>
    </row>
    <row r="596" spans="2:11" s="1" customFormat="1" ht="15.75">
      <c r="B596" s="21"/>
      <c r="C596" s="12"/>
      <c r="D596" s="12"/>
      <c r="E596" s="11"/>
      <c r="F596" s="4"/>
      <c r="G596" s="4"/>
      <c r="H596" s="4"/>
      <c r="I596" s="4"/>
      <c r="J596" s="4"/>
      <c r="K596" s="30"/>
    </row>
    <row r="597" spans="2:11" s="1" customFormat="1" ht="15.75">
      <c r="B597" s="21"/>
      <c r="C597" s="12"/>
      <c r="D597" s="12"/>
      <c r="E597" s="11"/>
      <c r="F597" s="4"/>
      <c r="G597" s="4"/>
      <c r="H597" s="4"/>
      <c r="I597" s="4"/>
      <c r="J597" s="4"/>
      <c r="K597" s="30"/>
    </row>
    <row r="598" spans="2:11" s="1" customFormat="1" ht="15.75">
      <c r="B598" s="21"/>
      <c r="C598" s="12"/>
      <c r="D598" s="12"/>
      <c r="E598" s="11"/>
      <c r="F598" s="4"/>
      <c r="G598" s="4"/>
      <c r="H598" s="4"/>
      <c r="I598" s="4"/>
      <c r="J598" s="4"/>
      <c r="K598" s="30"/>
    </row>
    <row r="599" spans="2:11" s="1" customFormat="1" ht="15.75">
      <c r="B599" s="21"/>
      <c r="C599" s="12"/>
      <c r="D599" s="12"/>
      <c r="E599" s="11"/>
      <c r="F599" s="4"/>
      <c r="G599" s="4"/>
      <c r="H599" s="4"/>
      <c r="I599" s="4"/>
      <c r="J599" s="4"/>
      <c r="K599" s="30"/>
    </row>
    <row r="600" spans="2:11" s="1" customFormat="1" ht="15.75">
      <c r="B600" s="21"/>
      <c r="C600" s="12"/>
      <c r="D600" s="12"/>
      <c r="E600" s="11"/>
      <c r="F600" s="4"/>
      <c r="G600" s="4"/>
      <c r="H600" s="4"/>
      <c r="I600" s="4"/>
      <c r="J600" s="4"/>
      <c r="K600" s="30"/>
    </row>
    <row r="601" spans="2:11" s="1" customFormat="1" ht="15.75">
      <c r="B601" s="21"/>
      <c r="C601" s="12"/>
      <c r="D601" s="12"/>
      <c r="E601" s="11"/>
      <c r="F601" s="4"/>
      <c r="G601" s="4"/>
      <c r="H601" s="4"/>
      <c r="I601" s="4"/>
      <c r="J601" s="4"/>
      <c r="K601" s="30"/>
    </row>
    <row r="602" spans="2:11" s="1" customFormat="1" ht="15.75">
      <c r="B602" s="21"/>
      <c r="C602" s="12"/>
      <c r="D602" s="12"/>
      <c r="E602" s="11"/>
      <c r="F602" s="4"/>
      <c r="G602" s="4"/>
      <c r="H602" s="4"/>
      <c r="I602" s="4"/>
      <c r="J602" s="4"/>
      <c r="K602" s="30"/>
    </row>
    <row r="603" spans="2:11" s="1" customFormat="1" ht="15.75">
      <c r="B603" s="21"/>
      <c r="C603" s="12"/>
      <c r="D603" s="12"/>
      <c r="E603" s="11"/>
      <c r="F603" s="4"/>
      <c r="G603" s="4"/>
      <c r="H603" s="4"/>
      <c r="I603" s="4"/>
      <c r="J603" s="4"/>
      <c r="K603" s="30"/>
    </row>
    <row r="604" spans="2:11" s="1" customFormat="1" ht="15.75">
      <c r="B604" s="21"/>
      <c r="C604" s="12"/>
      <c r="D604" s="12"/>
      <c r="E604" s="11"/>
      <c r="F604" s="4"/>
      <c r="G604" s="4"/>
      <c r="H604" s="4"/>
      <c r="I604" s="4"/>
      <c r="J604" s="4"/>
      <c r="K604" s="30"/>
    </row>
    <row r="605" spans="2:11" s="1" customFormat="1" ht="15.75">
      <c r="B605" s="21"/>
      <c r="C605" s="12"/>
      <c r="D605" s="12"/>
      <c r="E605" s="11"/>
      <c r="F605" s="4"/>
      <c r="G605" s="4"/>
      <c r="H605" s="4"/>
      <c r="I605" s="4"/>
      <c r="J605" s="4"/>
      <c r="K605" s="30"/>
    </row>
    <row r="606" spans="2:11" s="1" customFormat="1" ht="15.75">
      <c r="B606" s="21"/>
      <c r="C606" s="12"/>
      <c r="D606" s="12"/>
      <c r="E606" s="11"/>
      <c r="F606" s="4"/>
      <c r="G606" s="4"/>
      <c r="H606" s="4"/>
      <c r="I606" s="4"/>
      <c r="J606" s="4"/>
      <c r="K606" s="30"/>
    </row>
    <row r="607" spans="2:11" s="1" customFormat="1" ht="15.75">
      <c r="B607" s="21"/>
      <c r="C607" s="12"/>
      <c r="D607" s="12"/>
      <c r="E607" s="11"/>
      <c r="F607" s="4"/>
      <c r="G607" s="4"/>
      <c r="H607" s="4"/>
      <c r="I607" s="4"/>
      <c r="J607" s="4"/>
      <c r="K607" s="30"/>
    </row>
    <row r="608" spans="2:11" s="1" customFormat="1" ht="15.75">
      <c r="B608" s="21"/>
      <c r="C608" s="12"/>
      <c r="D608" s="12"/>
      <c r="E608" s="11"/>
      <c r="F608" s="4"/>
      <c r="G608" s="4"/>
      <c r="H608" s="4"/>
      <c r="I608" s="4"/>
      <c r="J608" s="4"/>
      <c r="K608" s="30"/>
    </row>
    <row r="609" spans="2:11" s="1" customFormat="1" ht="15.75">
      <c r="B609" s="21"/>
      <c r="C609" s="12"/>
      <c r="D609" s="12"/>
      <c r="E609" s="11"/>
      <c r="F609" s="4"/>
      <c r="G609" s="4"/>
      <c r="H609" s="4"/>
      <c r="I609" s="4"/>
      <c r="J609" s="4"/>
      <c r="K609" s="30"/>
    </row>
    <row r="610" spans="2:11" s="1" customFormat="1" ht="15.75">
      <c r="B610" s="21"/>
      <c r="C610" s="12"/>
      <c r="D610" s="12"/>
      <c r="E610" s="11"/>
      <c r="F610" s="4"/>
      <c r="G610" s="4"/>
      <c r="H610" s="4"/>
      <c r="I610" s="4"/>
      <c r="J610" s="4"/>
      <c r="K610" s="30"/>
    </row>
    <row r="611" spans="2:11" s="1" customFormat="1" ht="15.75">
      <c r="B611" s="21"/>
      <c r="C611" s="12"/>
      <c r="D611" s="12"/>
      <c r="E611" s="11"/>
      <c r="F611" s="4"/>
      <c r="G611" s="4"/>
      <c r="H611" s="4"/>
      <c r="I611" s="4"/>
      <c r="J611" s="4"/>
      <c r="K611" s="30"/>
    </row>
    <row r="612" spans="2:11" s="1" customFormat="1" ht="15.75">
      <c r="B612" s="21"/>
      <c r="C612" s="12"/>
      <c r="D612" s="12"/>
      <c r="E612" s="11"/>
      <c r="F612" s="4"/>
      <c r="G612" s="4"/>
      <c r="H612" s="4"/>
      <c r="I612" s="4"/>
      <c r="J612" s="4"/>
      <c r="K612" s="30"/>
    </row>
    <row r="613" spans="2:11" s="1" customFormat="1" ht="15.75">
      <c r="B613" s="21"/>
      <c r="C613" s="12"/>
      <c r="D613" s="12"/>
      <c r="E613" s="11"/>
      <c r="F613" s="4"/>
      <c r="G613" s="4"/>
      <c r="H613" s="4"/>
      <c r="I613" s="4"/>
      <c r="J613" s="4"/>
      <c r="K613" s="30"/>
    </row>
    <row r="614" spans="2:11" s="1" customFormat="1" ht="15.75">
      <c r="B614" s="21"/>
      <c r="C614" s="12"/>
      <c r="D614" s="12"/>
      <c r="E614" s="11"/>
      <c r="F614" s="4"/>
      <c r="G614" s="4"/>
      <c r="H614" s="4"/>
      <c r="I614" s="4"/>
      <c r="J614" s="4"/>
      <c r="K614" s="30"/>
    </row>
    <row r="615" spans="2:11" s="1" customFormat="1" ht="15.75">
      <c r="B615" s="21"/>
      <c r="C615" s="12"/>
      <c r="D615" s="12"/>
      <c r="E615" s="11"/>
      <c r="F615" s="4"/>
      <c r="G615" s="4"/>
      <c r="H615" s="4"/>
      <c r="I615" s="4"/>
      <c r="J615" s="4"/>
      <c r="K615" s="30"/>
    </row>
    <row r="616" spans="2:11" s="1" customFormat="1" ht="15.75">
      <c r="B616" s="21"/>
      <c r="C616" s="12"/>
      <c r="D616" s="12"/>
      <c r="E616" s="11"/>
      <c r="F616" s="4"/>
      <c r="G616" s="4"/>
      <c r="H616" s="4"/>
      <c r="I616" s="4"/>
      <c r="J616" s="4"/>
      <c r="K616" s="30"/>
    </row>
    <row r="617" spans="2:11" s="1" customFormat="1" ht="15.75">
      <c r="B617" s="21"/>
      <c r="C617" s="12"/>
      <c r="D617" s="12"/>
      <c r="E617" s="11"/>
      <c r="F617" s="4"/>
      <c r="G617" s="4"/>
      <c r="H617" s="4"/>
      <c r="I617" s="4"/>
      <c r="J617" s="4"/>
      <c r="K617" s="30"/>
    </row>
    <row r="618" spans="2:11" s="1" customFormat="1" ht="15.75">
      <c r="B618" s="21"/>
      <c r="C618" s="12"/>
      <c r="D618" s="12"/>
      <c r="E618" s="11"/>
      <c r="F618" s="4"/>
      <c r="G618" s="4"/>
      <c r="H618" s="4"/>
      <c r="I618" s="4"/>
      <c r="J618" s="4"/>
      <c r="K618" s="30"/>
    </row>
    <row r="619" spans="2:11" s="1" customFormat="1" ht="15.75">
      <c r="B619" s="21"/>
      <c r="C619" s="12"/>
      <c r="D619" s="12"/>
      <c r="E619" s="11"/>
      <c r="F619" s="4"/>
      <c r="G619" s="4"/>
      <c r="H619" s="4"/>
      <c r="I619" s="4"/>
      <c r="J619" s="4"/>
      <c r="K619" s="30"/>
    </row>
    <row r="620" spans="2:11" s="1" customFormat="1" ht="15.75">
      <c r="B620" s="21"/>
      <c r="C620" s="12"/>
      <c r="D620" s="12"/>
      <c r="E620" s="11"/>
      <c r="F620" s="4"/>
      <c r="G620" s="4"/>
      <c r="H620" s="4"/>
      <c r="I620" s="4"/>
      <c r="J620" s="4"/>
      <c r="K620" s="30"/>
    </row>
    <row r="621" spans="2:11" s="1" customFormat="1" ht="15.75">
      <c r="B621" s="21"/>
      <c r="C621" s="12"/>
      <c r="D621" s="12"/>
      <c r="E621" s="11"/>
      <c r="F621" s="4"/>
      <c r="G621" s="4"/>
      <c r="H621" s="4"/>
      <c r="I621" s="4"/>
      <c r="J621" s="4"/>
      <c r="K621" s="30"/>
    </row>
    <row r="622" spans="2:11" s="1" customFormat="1" ht="15.75">
      <c r="B622" s="21"/>
      <c r="C622" s="12"/>
      <c r="D622" s="12"/>
      <c r="E622" s="11"/>
      <c r="F622" s="4"/>
      <c r="G622" s="4"/>
      <c r="H622" s="4"/>
      <c r="I622" s="4"/>
      <c r="J622" s="4"/>
      <c r="K622" s="30"/>
    </row>
    <row r="623" spans="2:11" s="1" customFormat="1" ht="15.75">
      <c r="B623" s="21"/>
      <c r="C623" s="12"/>
      <c r="D623" s="12"/>
      <c r="E623" s="11"/>
      <c r="F623" s="4"/>
      <c r="G623" s="4"/>
      <c r="H623" s="4"/>
      <c r="I623" s="4"/>
      <c r="J623" s="4"/>
      <c r="K623" s="30"/>
    </row>
    <row r="624" spans="2:11" s="1" customFormat="1" ht="15.75">
      <c r="B624" s="21"/>
      <c r="C624" s="12"/>
      <c r="D624" s="12"/>
      <c r="E624" s="11"/>
      <c r="F624" s="4"/>
      <c r="G624" s="4"/>
      <c r="H624" s="4"/>
      <c r="I624" s="4"/>
      <c r="J624" s="4"/>
      <c r="K624" s="30"/>
    </row>
    <row r="625" spans="2:11" s="1" customFormat="1" ht="15.75">
      <c r="B625" s="21"/>
      <c r="C625" s="12"/>
      <c r="D625" s="12"/>
      <c r="E625" s="11"/>
      <c r="F625" s="4"/>
      <c r="G625" s="4"/>
      <c r="H625" s="4"/>
      <c r="I625" s="4"/>
      <c r="J625" s="4"/>
      <c r="K625" s="30"/>
    </row>
    <row r="626" spans="2:11" s="1" customFormat="1" ht="15.75">
      <c r="B626" s="21"/>
      <c r="C626" s="12"/>
      <c r="D626" s="12"/>
      <c r="E626" s="11"/>
      <c r="F626" s="4"/>
      <c r="G626" s="4"/>
      <c r="H626" s="4"/>
      <c r="I626" s="4"/>
      <c r="J626" s="4"/>
      <c r="K626" s="30"/>
    </row>
    <row r="627" spans="2:11" s="1" customFormat="1" ht="15.75">
      <c r="B627" s="21"/>
      <c r="C627" s="12"/>
      <c r="D627" s="12"/>
      <c r="E627" s="11"/>
      <c r="F627" s="4"/>
      <c r="G627" s="4"/>
      <c r="H627" s="4"/>
      <c r="I627" s="4"/>
      <c r="J627" s="4"/>
      <c r="K627" s="30"/>
    </row>
    <row r="628" spans="2:11" s="1" customFormat="1" ht="15.75">
      <c r="B628" s="21"/>
      <c r="C628" s="12"/>
      <c r="D628" s="12"/>
      <c r="E628" s="11"/>
      <c r="F628" s="4"/>
      <c r="G628" s="4"/>
      <c r="H628" s="4"/>
      <c r="I628" s="4"/>
      <c r="J628" s="4"/>
      <c r="K628" s="30"/>
    </row>
    <row r="629" spans="2:11" s="1" customFormat="1" ht="15.75">
      <c r="B629" s="21"/>
      <c r="C629" s="12"/>
      <c r="D629" s="12"/>
      <c r="E629" s="11"/>
      <c r="F629" s="4"/>
      <c r="G629" s="4"/>
      <c r="H629" s="4"/>
      <c r="I629" s="4"/>
      <c r="J629" s="4"/>
      <c r="K629" s="30"/>
    </row>
    <row r="630" spans="2:11" s="1" customFormat="1" ht="15.75">
      <c r="B630" s="21"/>
      <c r="C630" s="12"/>
      <c r="D630" s="12"/>
      <c r="E630" s="11"/>
      <c r="F630" s="4"/>
      <c r="G630" s="4"/>
      <c r="H630" s="4"/>
      <c r="I630" s="4"/>
      <c r="J630" s="4"/>
      <c r="K630" s="30"/>
    </row>
    <row r="631" spans="2:11" s="1" customFormat="1" ht="15.75">
      <c r="B631" s="21"/>
      <c r="C631" s="12"/>
      <c r="D631" s="12"/>
      <c r="E631" s="11"/>
      <c r="F631" s="4"/>
      <c r="G631" s="4"/>
      <c r="H631" s="4"/>
      <c r="I631" s="4"/>
      <c r="J631" s="4"/>
      <c r="K631" s="30"/>
    </row>
    <row r="632" spans="2:11" s="1" customFormat="1" ht="15.75">
      <c r="B632" s="21"/>
      <c r="C632" s="12"/>
      <c r="D632" s="12"/>
      <c r="E632" s="11"/>
      <c r="F632" s="4"/>
      <c r="G632" s="4"/>
      <c r="H632" s="4"/>
      <c r="I632" s="4"/>
      <c r="J632" s="4"/>
      <c r="K632" s="30"/>
    </row>
    <row r="633" spans="2:11" s="1" customFormat="1" ht="15.75">
      <c r="B633" s="21"/>
      <c r="C633" s="12"/>
      <c r="D633" s="12"/>
      <c r="E633" s="11"/>
      <c r="F633" s="4"/>
      <c r="G633" s="4"/>
      <c r="H633" s="4"/>
      <c r="I633" s="4"/>
      <c r="J633" s="4"/>
      <c r="K633" s="30"/>
    </row>
    <row r="634" spans="2:11" s="1" customFormat="1" ht="15.75">
      <c r="B634" s="21"/>
      <c r="C634" s="12"/>
      <c r="D634" s="12"/>
      <c r="E634" s="11"/>
      <c r="F634" s="4"/>
      <c r="G634" s="4"/>
      <c r="H634" s="4"/>
      <c r="I634" s="4"/>
      <c r="J634" s="4"/>
      <c r="K634" s="30"/>
    </row>
    <row r="635" spans="2:11" s="1" customFormat="1" ht="15.75">
      <c r="B635" s="21"/>
      <c r="C635" s="12"/>
      <c r="D635" s="12"/>
      <c r="E635" s="11"/>
      <c r="F635" s="4"/>
      <c r="G635" s="4"/>
      <c r="H635" s="4"/>
      <c r="I635" s="4"/>
      <c r="J635" s="4"/>
      <c r="K635" s="30"/>
    </row>
    <row r="636" spans="2:11" s="1" customFormat="1" ht="15.75">
      <c r="B636" s="21"/>
      <c r="C636" s="12"/>
      <c r="D636" s="12"/>
      <c r="E636" s="11"/>
      <c r="F636" s="4"/>
      <c r="G636" s="4"/>
      <c r="H636" s="4"/>
      <c r="I636" s="4"/>
      <c r="J636" s="4"/>
      <c r="K636" s="30"/>
    </row>
    <row r="637" spans="2:11" s="1" customFormat="1" ht="15.75">
      <c r="B637" s="21"/>
      <c r="C637" s="12"/>
      <c r="D637" s="12"/>
      <c r="E637" s="11"/>
      <c r="F637" s="4"/>
      <c r="G637" s="4"/>
      <c r="H637" s="4"/>
      <c r="I637" s="4"/>
      <c r="J637" s="4"/>
      <c r="K637" s="30"/>
    </row>
    <row r="638" spans="2:11" s="1" customFormat="1" ht="15.75">
      <c r="B638" s="21"/>
      <c r="C638" s="12"/>
      <c r="D638" s="12"/>
      <c r="E638" s="11"/>
      <c r="F638" s="4"/>
      <c r="G638" s="4"/>
      <c r="H638" s="4"/>
      <c r="I638" s="4"/>
      <c r="J638" s="4"/>
      <c r="K638" s="30"/>
    </row>
    <row r="639" spans="2:11" s="1" customFormat="1" ht="15.75">
      <c r="B639" s="21"/>
      <c r="C639" s="12"/>
      <c r="D639" s="12"/>
      <c r="E639" s="11"/>
      <c r="F639" s="4"/>
      <c r="G639" s="4"/>
      <c r="H639" s="4"/>
      <c r="I639" s="4"/>
      <c r="J639" s="4"/>
      <c r="K639" s="30"/>
    </row>
    <row r="640" spans="2:11" s="1" customFormat="1" ht="15.75">
      <c r="B640" s="21"/>
      <c r="C640" s="12"/>
      <c r="D640" s="12"/>
      <c r="E640" s="11"/>
      <c r="F640" s="4"/>
      <c r="G640" s="4"/>
      <c r="H640" s="4"/>
      <c r="I640" s="4"/>
      <c r="J640" s="4"/>
      <c r="K640" s="30"/>
    </row>
    <row r="641" spans="2:11" s="1" customFormat="1" ht="15.75">
      <c r="B641" s="21"/>
      <c r="C641" s="12"/>
      <c r="D641" s="12"/>
      <c r="E641" s="11"/>
      <c r="F641" s="4"/>
      <c r="G641" s="4"/>
      <c r="H641" s="4"/>
      <c r="I641" s="4"/>
      <c r="J641" s="4"/>
      <c r="K641" s="30"/>
    </row>
    <row r="642" spans="2:11" s="1" customFormat="1" ht="15.75">
      <c r="B642" s="21"/>
      <c r="C642" s="12"/>
      <c r="D642" s="12"/>
      <c r="E642" s="11"/>
      <c r="F642" s="4"/>
      <c r="G642" s="4"/>
      <c r="H642" s="4"/>
      <c r="I642" s="4"/>
      <c r="J642" s="4"/>
      <c r="K642" s="30"/>
    </row>
    <row r="643" spans="2:11" s="1" customFormat="1" ht="15.75">
      <c r="B643" s="21"/>
      <c r="C643" s="12"/>
      <c r="D643" s="12"/>
      <c r="E643" s="11"/>
      <c r="F643" s="4"/>
      <c r="G643" s="4"/>
      <c r="H643" s="4"/>
      <c r="I643" s="4"/>
      <c r="J643" s="4"/>
      <c r="K643" s="30"/>
    </row>
    <row r="644" spans="2:11" s="1" customFormat="1" ht="15.75">
      <c r="B644" s="21"/>
      <c r="C644" s="12"/>
      <c r="D644" s="12"/>
      <c r="E644" s="11"/>
      <c r="F644" s="4"/>
      <c r="G644" s="4"/>
      <c r="H644" s="4"/>
      <c r="I644" s="4"/>
      <c r="J644" s="4"/>
      <c r="K644" s="30"/>
    </row>
    <row r="645" spans="2:11" s="1" customFormat="1" ht="15.75">
      <c r="B645" s="21"/>
      <c r="C645" s="12"/>
      <c r="D645" s="12"/>
      <c r="E645" s="11"/>
      <c r="F645" s="4"/>
      <c r="G645" s="4"/>
      <c r="H645" s="4"/>
      <c r="I645" s="4"/>
      <c r="J645" s="4"/>
      <c r="K645" s="30"/>
    </row>
    <row r="646" spans="2:11" s="1" customFormat="1" ht="15.75">
      <c r="B646" s="21"/>
      <c r="C646" s="12"/>
      <c r="D646" s="12"/>
      <c r="E646" s="11"/>
      <c r="F646" s="4"/>
      <c r="G646" s="4"/>
      <c r="H646" s="4"/>
      <c r="I646" s="4"/>
      <c r="J646" s="4"/>
      <c r="K646" s="30"/>
    </row>
    <row r="647" spans="2:11" s="1" customFormat="1" ht="15.75">
      <c r="B647" s="21"/>
      <c r="C647" s="12"/>
      <c r="D647" s="12"/>
      <c r="E647" s="11"/>
      <c r="F647" s="4"/>
      <c r="G647" s="4"/>
      <c r="H647" s="4"/>
      <c r="I647" s="4"/>
      <c r="J647" s="4"/>
      <c r="K647" s="30"/>
    </row>
  </sheetData>
  <mergeCells count="54">
    <mergeCell ref="B139:K139"/>
    <mergeCell ref="C177:C178"/>
    <mergeCell ref="B177:B178"/>
    <mergeCell ref="B2:K2"/>
    <mergeCell ref="B4:K4"/>
    <mergeCell ref="B53:K53"/>
    <mergeCell ref="B47:K47"/>
    <mergeCell ref="B28:K28"/>
    <mergeCell ref="B7:K7"/>
    <mergeCell ref="C25:C26"/>
    <mergeCell ref="C19:C24"/>
    <mergeCell ref="B19:B24"/>
    <mergeCell ref="K25:K26"/>
    <mergeCell ref="B25:B26"/>
    <mergeCell ref="B5:B6"/>
    <mergeCell ref="B8:B18"/>
    <mergeCell ref="C8:C18"/>
    <mergeCell ref="K35:K37"/>
    <mergeCell ref="K56:K57"/>
    <mergeCell ref="K5:K6"/>
    <mergeCell ref="D5:D6"/>
    <mergeCell ref="C5:C6"/>
    <mergeCell ref="E5:J5"/>
    <mergeCell ref="B203:K203"/>
    <mergeCell ref="B176:K176"/>
    <mergeCell ref="B179:K179"/>
    <mergeCell ref="B143:K143"/>
    <mergeCell ref="B164:K164"/>
    <mergeCell ref="B192:K192"/>
    <mergeCell ref="B187:K187"/>
    <mergeCell ref="E177:H177"/>
    <mergeCell ref="K177:K178"/>
    <mergeCell ref="D177:D178"/>
    <mergeCell ref="B90:K90"/>
    <mergeCell ref="B74:K74"/>
    <mergeCell ref="K75:K76"/>
    <mergeCell ref="B75:B76"/>
    <mergeCell ref="C75:C76"/>
    <mergeCell ref="D75:D76"/>
    <mergeCell ref="E75:H75"/>
    <mergeCell ref="B77:K77"/>
    <mergeCell ref="B85:K85"/>
    <mergeCell ref="B80:K80"/>
    <mergeCell ref="D103:D104"/>
    <mergeCell ref="C103:C104"/>
    <mergeCell ref="B103:B104"/>
    <mergeCell ref="B102:K102"/>
    <mergeCell ref="E103:H103"/>
    <mergeCell ref="K103:K104"/>
    <mergeCell ref="B127:K127"/>
    <mergeCell ref="B120:K120"/>
    <mergeCell ref="B115:K115"/>
    <mergeCell ref="B109:K109"/>
    <mergeCell ref="B105:K105"/>
  </mergeCells>
  <pageMargins left="0.25" right="0.25"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dimension ref="A3:AA1956"/>
  <sheetViews>
    <sheetView topLeftCell="A765" zoomScale="80" zoomScaleNormal="80" workbookViewId="0">
      <selection activeCell="A519" sqref="A519:XFD519"/>
    </sheetView>
  </sheetViews>
  <sheetFormatPr defaultRowHeight="15"/>
  <cols>
    <col min="1" max="1" width="4.28515625" style="83" customWidth="1"/>
    <col min="2" max="2" width="9.140625" style="79" customWidth="1"/>
    <col min="3" max="3" width="47.140625" style="83" customWidth="1"/>
    <col min="4" max="4" width="20.42578125" style="90" customWidth="1"/>
    <col min="5" max="5" width="10.7109375" style="90" customWidth="1"/>
    <col min="6" max="6" width="12.140625" style="90" customWidth="1"/>
    <col min="7" max="7" width="13.85546875" style="266" customWidth="1"/>
    <col min="8" max="8" width="15.7109375" style="266" customWidth="1"/>
    <col min="9" max="9" width="29.140625" style="83" customWidth="1"/>
    <col min="10" max="10" width="13.28515625" style="83" bestFit="1" customWidth="1"/>
    <col min="11" max="11" width="11" style="83" bestFit="1" customWidth="1"/>
    <col min="12" max="256" width="9.140625" style="83"/>
    <col min="257" max="257" width="7.140625" style="83" customWidth="1"/>
    <col min="258" max="258" width="33" style="83" customWidth="1"/>
    <col min="259" max="259" width="30" style="83" customWidth="1"/>
    <col min="260" max="260" width="9.5703125" style="83" customWidth="1"/>
    <col min="261" max="261" width="9.42578125" style="83" customWidth="1"/>
    <col min="262" max="266" width="9.140625" style="83"/>
    <col min="267" max="267" width="11" style="83" bestFit="1" customWidth="1"/>
    <col min="268" max="512" width="9.140625" style="83"/>
    <col min="513" max="513" width="7.140625" style="83" customWidth="1"/>
    <col min="514" max="514" width="33" style="83" customWidth="1"/>
    <col min="515" max="515" width="30" style="83" customWidth="1"/>
    <col min="516" max="516" width="9.5703125" style="83" customWidth="1"/>
    <col min="517" max="517" width="9.42578125" style="83" customWidth="1"/>
    <col min="518" max="522" width="9.140625" style="83"/>
    <col min="523" max="523" width="11" style="83" bestFit="1" customWidth="1"/>
    <col min="524" max="768" width="9.140625" style="83"/>
    <col min="769" max="769" width="7.140625" style="83" customWidth="1"/>
    <col min="770" max="770" width="33" style="83" customWidth="1"/>
    <col min="771" max="771" width="30" style="83" customWidth="1"/>
    <col min="772" max="772" width="9.5703125" style="83" customWidth="1"/>
    <col min="773" max="773" width="9.42578125" style="83" customWidth="1"/>
    <col min="774" max="778" width="9.140625" style="83"/>
    <col min="779" max="779" width="11" style="83" bestFit="1" customWidth="1"/>
    <col min="780" max="1024" width="9.140625" style="83"/>
    <col min="1025" max="1025" width="7.140625" style="83" customWidth="1"/>
    <col min="1026" max="1026" width="33" style="83" customWidth="1"/>
    <col min="1027" max="1027" width="30" style="83" customWidth="1"/>
    <col min="1028" max="1028" width="9.5703125" style="83" customWidth="1"/>
    <col min="1029" max="1029" width="9.42578125" style="83" customWidth="1"/>
    <col min="1030" max="1034" width="9.140625" style="83"/>
    <col min="1035" max="1035" width="11" style="83" bestFit="1" customWidth="1"/>
    <col min="1036" max="1280" width="9.140625" style="83"/>
    <col min="1281" max="1281" width="7.140625" style="83" customWidth="1"/>
    <col min="1282" max="1282" width="33" style="83" customWidth="1"/>
    <col min="1283" max="1283" width="30" style="83" customWidth="1"/>
    <col min="1284" max="1284" width="9.5703125" style="83" customWidth="1"/>
    <col min="1285" max="1285" width="9.42578125" style="83" customWidth="1"/>
    <col min="1286" max="1290" width="9.140625" style="83"/>
    <col min="1291" max="1291" width="11" style="83" bestFit="1" customWidth="1"/>
    <col min="1292" max="1536" width="9.140625" style="83"/>
    <col min="1537" max="1537" width="7.140625" style="83" customWidth="1"/>
    <col min="1538" max="1538" width="33" style="83" customWidth="1"/>
    <col min="1539" max="1539" width="30" style="83" customWidth="1"/>
    <col min="1540" max="1540" width="9.5703125" style="83" customWidth="1"/>
    <col min="1541" max="1541" width="9.42578125" style="83" customWidth="1"/>
    <col min="1542" max="1546" width="9.140625" style="83"/>
    <col min="1547" max="1547" width="11" style="83" bestFit="1" customWidth="1"/>
    <col min="1548" max="1792" width="9.140625" style="83"/>
    <col min="1793" max="1793" width="7.140625" style="83" customWidth="1"/>
    <col min="1794" max="1794" width="33" style="83" customWidth="1"/>
    <col min="1795" max="1795" width="30" style="83" customWidth="1"/>
    <col min="1796" max="1796" width="9.5703125" style="83" customWidth="1"/>
    <col min="1797" max="1797" width="9.42578125" style="83" customWidth="1"/>
    <col min="1798" max="1802" width="9.140625" style="83"/>
    <col min="1803" max="1803" width="11" style="83" bestFit="1" customWidth="1"/>
    <col min="1804" max="2048" width="9.140625" style="83"/>
    <col min="2049" max="2049" width="7.140625" style="83" customWidth="1"/>
    <col min="2050" max="2050" width="33" style="83" customWidth="1"/>
    <col min="2051" max="2051" width="30" style="83" customWidth="1"/>
    <col min="2052" max="2052" width="9.5703125" style="83" customWidth="1"/>
    <col min="2053" max="2053" width="9.42578125" style="83" customWidth="1"/>
    <col min="2054" max="2058" width="9.140625" style="83"/>
    <col min="2059" max="2059" width="11" style="83" bestFit="1" customWidth="1"/>
    <col min="2060" max="2304" width="9.140625" style="83"/>
    <col min="2305" max="2305" width="7.140625" style="83" customWidth="1"/>
    <col min="2306" max="2306" width="33" style="83" customWidth="1"/>
    <col min="2307" max="2307" width="30" style="83" customWidth="1"/>
    <col min="2308" max="2308" width="9.5703125" style="83" customWidth="1"/>
    <col min="2309" max="2309" width="9.42578125" style="83" customWidth="1"/>
    <col min="2310" max="2314" width="9.140625" style="83"/>
    <col min="2315" max="2315" width="11" style="83" bestFit="1" customWidth="1"/>
    <col min="2316" max="2560" width="9.140625" style="83"/>
    <col min="2561" max="2561" width="7.140625" style="83" customWidth="1"/>
    <col min="2562" max="2562" width="33" style="83" customWidth="1"/>
    <col min="2563" max="2563" width="30" style="83" customWidth="1"/>
    <col min="2564" max="2564" width="9.5703125" style="83" customWidth="1"/>
    <col min="2565" max="2565" width="9.42578125" style="83" customWidth="1"/>
    <col min="2566" max="2570" width="9.140625" style="83"/>
    <col min="2571" max="2571" width="11" style="83" bestFit="1" customWidth="1"/>
    <col min="2572" max="2816" width="9.140625" style="83"/>
    <col min="2817" max="2817" width="7.140625" style="83" customWidth="1"/>
    <col min="2818" max="2818" width="33" style="83" customWidth="1"/>
    <col min="2819" max="2819" width="30" style="83" customWidth="1"/>
    <col min="2820" max="2820" width="9.5703125" style="83" customWidth="1"/>
    <col min="2821" max="2821" width="9.42578125" style="83" customWidth="1"/>
    <col min="2822" max="2826" width="9.140625" style="83"/>
    <col min="2827" max="2827" width="11" style="83" bestFit="1" customWidth="1"/>
    <col min="2828" max="3072" width="9.140625" style="83"/>
    <col min="3073" max="3073" width="7.140625" style="83" customWidth="1"/>
    <col min="3074" max="3074" width="33" style="83" customWidth="1"/>
    <col min="3075" max="3075" width="30" style="83" customWidth="1"/>
    <col min="3076" max="3076" width="9.5703125" style="83" customWidth="1"/>
    <col min="3077" max="3077" width="9.42578125" style="83" customWidth="1"/>
    <col min="3078" max="3082" width="9.140625" style="83"/>
    <col min="3083" max="3083" width="11" style="83" bestFit="1" customWidth="1"/>
    <col min="3084" max="3328" width="9.140625" style="83"/>
    <col min="3329" max="3329" width="7.140625" style="83" customWidth="1"/>
    <col min="3330" max="3330" width="33" style="83" customWidth="1"/>
    <col min="3331" max="3331" width="30" style="83" customWidth="1"/>
    <col min="3332" max="3332" width="9.5703125" style="83" customWidth="1"/>
    <col min="3333" max="3333" width="9.42578125" style="83" customWidth="1"/>
    <col min="3334" max="3338" width="9.140625" style="83"/>
    <col min="3339" max="3339" width="11" style="83" bestFit="1" customWidth="1"/>
    <col min="3340" max="3584" width="9.140625" style="83"/>
    <col min="3585" max="3585" width="7.140625" style="83" customWidth="1"/>
    <col min="3586" max="3586" width="33" style="83" customWidth="1"/>
    <col min="3587" max="3587" width="30" style="83" customWidth="1"/>
    <col min="3588" max="3588" width="9.5703125" style="83" customWidth="1"/>
    <col min="3589" max="3589" width="9.42578125" style="83" customWidth="1"/>
    <col min="3590" max="3594" width="9.140625" style="83"/>
    <col min="3595" max="3595" width="11" style="83" bestFit="1" customWidth="1"/>
    <col min="3596" max="3840" width="9.140625" style="83"/>
    <col min="3841" max="3841" width="7.140625" style="83" customWidth="1"/>
    <col min="3842" max="3842" width="33" style="83" customWidth="1"/>
    <col min="3843" max="3843" width="30" style="83" customWidth="1"/>
    <col min="3844" max="3844" width="9.5703125" style="83" customWidth="1"/>
    <col min="3845" max="3845" width="9.42578125" style="83" customWidth="1"/>
    <col min="3846" max="3850" width="9.140625" style="83"/>
    <col min="3851" max="3851" width="11" style="83" bestFit="1" customWidth="1"/>
    <col min="3852" max="4096" width="9.140625" style="83"/>
    <col min="4097" max="4097" width="7.140625" style="83" customWidth="1"/>
    <col min="4098" max="4098" width="33" style="83" customWidth="1"/>
    <col min="4099" max="4099" width="30" style="83" customWidth="1"/>
    <col min="4100" max="4100" width="9.5703125" style="83" customWidth="1"/>
    <col min="4101" max="4101" width="9.42578125" style="83" customWidth="1"/>
    <col min="4102" max="4106" width="9.140625" style="83"/>
    <col min="4107" max="4107" width="11" style="83" bestFit="1" customWidth="1"/>
    <col min="4108" max="4352" width="9.140625" style="83"/>
    <col min="4353" max="4353" width="7.140625" style="83" customWidth="1"/>
    <col min="4354" max="4354" width="33" style="83" customWidth="1"/>
    <col min="4355" max="4355" width="30" style="83" customWidth="1"/>
    <col min="4356" max="4356" width="9.5703125" style="83" customWidth="1"/>
    <col min="4357" max="4357" width="9.42578125" style="83" customWidth="1"/>
    <col min="4358" max="4362" width="9.140625" style="83"/>
    <col min="4363" max="4363" width="11" style="83" bestFit="1" customWidth="1"/>
    <col min="4364" max="4608" width="9.140625" style="83"/>
    <col min="4609" max="4609" width="7.140625" style="83" customWidth="1"/>
    <col min="4610" max="4610" width="33" style="83" customWidth="1"/>
    <col min="4611" max="4611" width="30" style="83" customWidth="1"/>
    <col min="4612" max="4612" width="9.5703125" style="83" customWidth="1"/>
    <col min="4613" max="4613" width="9.42578125" style="83" customWidth="1"/>
    <col min="4614" max="4618" width="9.140625" style="83"/>
    <col min="4619" max="4619" width="11" style="83" bestFit="1" customWidth="1"/>
    <col min="4620" max="4864" width="9.140625" style="83"/>
    <col min="4865" max="4865" width="7.140625" style="83" customWidth="1"/>
    <col min="4866" max="4866" width="33" style="83" customWidth="1"/>
    <col min="4867" max="4867" width="30" style="83" customWidth="1"/>
    <col min="4868" max="4868" width="9.5703125" style="83" customWidth="1"/>
    <col min="4869" max="4869" width="9.42578125" style="83" customWidth="1"/>
    <col min="4870" max="4874" width="9.140625" style="83"/>
    <col min="4875" max="4875" width="11" style="83" bestFit="1" customWidth="1"/>
    <col min="4876" max="5120" width="9.140625" style="83"/>
    <col min="5121" max="5121" width="7.140625" style="83" customWidth="1"/>
    <col min="5122" max="5122" width="33" style="83" customWidth="1"/>
    <col min="5123" max="5123" width="30" style="83" customWidth="1"/>
    <col min="5124" max="5124" width="9.5703125" style="83" customWidth="1"/>
    <col min="5125" max="5125" width="9.42578125" style="83" customWidth="1"/>
    <col min="5126" max="5130" width="9.140625" style="83"/>
    <col min="5131" max="5131" width="11" style="83" bestFit="1" customWidth="1"/>
    <col min="5132" max="5376" width="9.140625" style="83"/>
    <col min="5377" max="5377" width="7.140625" style="83" customWidth="1"/>
    <col min="5378" max="5378" width="33" style="83" customWidth="1"/>
    <col min="5379" max="5379" width="30" style="83" customWidth="1"/>
    <col min="5380" max="5380" width="9.5703125" style="83" customWidth="1"/>
    <col min="5381" max="5381" width="9.42578125" style="83" customWidth="1"/>
    <col min="5382" max="5386" width="9.140625" style="83"/>
    <col min="5387" max="5387" width="11" style="83" bestFit="1" customWidth="1"/>
    <col min="5388" max="5632" width="9.140625" style="83"/>
    <col min="5633" max="5633" width="7.140625" style="83" customWidth="1"/>
    <col min="5634" max="5634" width="33" style="83" customWidth="1"/>
    <col min="5635" max="5635" width="30" style="83" customWidth="1"/>
    <col min="5636" max="5636" width="9.5703125" style="83" customWidth="1"/>
    <col min="5637" max="5637" width="9.42578125" style="83" customWidth="1"/>
    <col min="5638" max="5642" width="9.140625" style="83"/>
    <col min="5643" max="5643" width="11" style="83" bestFit="1" customWidth="1"/>
    <col min="5644" max="5888" width="9.140625" style="83"/>
    <col min="5889" max="5889" width="7.140625" style="83" customWidth="1"/>
    <col min="5890" max="5890" width="33" style="83" customWidth="1"/>
    <col min="5891" max="5891" width="30" style="83" customWidth="1"/>
    <col min="5892" max="5892" width="9.5703125" style="83" customWidth="1"/>
    <col min="5893" max="5893" width="9.42578125" style="83" customWidth="1"/>
    <col min="5894" max="5898" width="9.140625" style="83"/>
    <col min="5899" max="5899" width="11" style="83" bestFit="1" customWidth="1"/>
    <col min="5900" max="6144" width="9.140625" style="83"/>
    <col min="6145" max="6145" width="7.140625" style="83" customWidth="1"/>
    <col min="6146" max="6146" width="33" style="83" customWidth="1"/>
    <col min="6147" max="6147" width="30" style="83" customWidth="1"/>
    <col min="6148" max="6148" width="9.5703125" style="83" customWidth="1"/>
    <col min="6149" max="6149" width="9.42578125" style="83" customWidth="1"/>
    <col min="6150" max="6154" width="9.140625" style="83"/>
    <col min="6155" max="6155" width="11" style="83" bestFit="1" customWidth="1"/>
    <col min="6156" max="6400" width="9.140625" style="83"/>
    <col min="6401" max="6401" width="7.140625" style="83" customWidth="1"/>
    <col min="6402" max="6402" width="33" style="83" customWidth="1"/>
    <col min="6403" max="6403" width="30" style="83" customWidth="1"/>
    <col min="6404" max="6404" width="9.5703125" style="83" customWidth="1"/>
    <col min="6405" max="6405" width="9.42578125" style="83" customWidth="1"/>
    <col min="6406" max="6410" width="9.140625" style="83"/>
    <col min="6411" max="6411" width="11" style="83" bestFit="1" customWidth="1"/>
    <col min="6412" max="6656" width="9.140625" style="83"/>
    <col min="6657" max="6657" width="7.140625" style="83" customWidth="1"/>
    <col min="6658" max="6658" width="33" style="83" customWidth="1"/>
    <col min="6659" max="6659" width="30" style="83" customWidth="1"/>
    <col min="6660" max="6660" width="9.5703125" style="83" customWidth="1"/>
    <col min="6661" max="6661" width="9.42578125" style="83" customWidth="1"/>
    <col min="6662" max="6666" width="9.140625" style="83"/>
    <col min="6667" max="6667" width="11" style="83" bestFit="1" customWidth="1"/>
    <col min="6668" max="6912" width="9.140625" style="83"/>
    <col min="6913" max="6913" width="7.140625" style="83" customWidth="1"/>
    <col min="6914" max="6914" width="33" style="83" customWidth="1"/>
    <col min="6915" max="6915" width="30" style="83" customWidth="1"/>
    <col min="6916" max="6916" width="9.5703125" style="83" customWidth="1"/>
    <col min="6917" max="6917" width="9.42578125" style="83" customWidth="1"/>
    <col min="6918" max="6922" width="9.140625" style="83"/>
    <col min="6923" max="6923" width="11" style="83" bestFit="1" customWidth="1"/>
    <col min="6924" max="7168" width="9.140625" style="83"/>
    <col min="7169" max="7169" width="7.140625" style="83" customWidth="1"/>
    <col min="7170" max="7170" width="33" style="83" customWidth="1"/>
    <col min="7171" max="7171" width="30" style="83" customWidth="1"/>
    <col min="7172" max="7172" width="9.5703125" style="83" customWidth="1"/>
    <col min="7173" max="7173" width="9.42578125" style="83" customWidth="1"/>
    <col min="7174" max="7178" width="9.140625" style="83"/>
    <col min="7179" max="7179" width="11" style="83" bestFit="1" customWidth="1"/>
    <col min="7180" max="7424" width="9.140625" style="83"/>
    <col min="7425" max="7425" width="7.140625" style="83" customWidth="1"/>
    <col min="7426" max="7426" width="33" style="83" customWidth="1"/>
    <col min="7427" max="7427" width="30" style="83" customWidth="1"/>
    <col min="7428" max="7428" width="9.5703125" style="83" customWidth="1"/>
    <col min="7429" max="7429" width="9.42578125" style="83" customWidth="1"/>
    <col min="7430" max="7434" width="9.140625" style="83"/>
    <col min="7435" max="7435" width="11" style="83" bestFit="1" customWidth="1"/>
    <col min="7436" max="7680" width="9.140625" style="83"/>
    <col min="7681" max="7681" width="7.140625" style="83" customWidth="1"/>
    <col min="7682" max="7682" width="33" style="83" customWidth="1"/>
    <col min="7683" max="7683" width="30" style="83" customWidth="1"/>
    <col min="7684" max="7684" width="9.5703125" style="83" customWidth="1"/>
    <col min="7685" max="7685" width="9.42578125" style="83" customWidth="1"/>
    <col min="7686" max="7690" width="9.140625" style="83"/>
    <col min="7691" max="7691" width="11" style="83" bestFit="1" customWidth="1"/>
    <col min="7692" max="7936" width="9.140625" style="83"/>
    <col min="7937" max="7937" width="7.140625" style="83" customWidth="1"/>
    <col min="7938" max="7938" width="33" style="83" customWidth="1"/>
    <col min="7939" max="7939" width="30" style="83" customWidth="1"/>
    <col min="7940" max="7940" width="9.5703125" style="83" customWidth="1"/>
    <col min="7941" max="7941" width="9.42578125" style="83" customWidth="1"/>
    <col min="7942" max="7946" width="9.140625" style="83"/>
    <col min="7947" max="7947" width="11" style="83" bestFit="1" customWidth="1"/>
    <col min="7948" max="8192" width="9.140625" style="83"/>
    <col min="8193" max="8193" width="7.140625" style="83" customWidth="1"/>
    <col min="8194" max="8194" width="33" style="83" customWidth="1"/>
    <col min="8195" max="8195" width="30" style="83" customWidth="1"/>
    <col min="8196" max="8196" width="9.5703125" style="83" customWidth="1"/>
    <col min="8197" max="8197" width="9.42578125" style="83" customWidth="1"/>
    <col min="8198" max="8202" width="9.140625" style="83"/>
    <col min="8203" max="8203" width="11" style="83" bestFit="1" customWidth="1"/>
    <col min="8204" max="8448" width="9.140625" style="83"/>
    <col min="8449" max="8449" width="7.140625" style="83" customWidth="1"/>
    <col min="8450" max="8450" width="33" style="83" customWidth="1"/>
    <col min="8451" max="8451" width="30" style="83" customWidth="1"/>
    <col min="8452" max="8452" width="9.5703125" style="83" customWidth="1"/>
    <col min="8453" max="8453" width="9.42578125" style="83" customWidth="1"/>
    <col min="8454" max="8458" width="9.140625" style="83"/>
    <col min="8459" max="8459" width="11" style="83" bestFit="1" customWidth="1"/>
    <col min="8460" max="8704" width="9.140625" style="83"/>
    <col min="8705" max="8705" width="7.140625" style="83" customWidth="1"/>
    <col min="8706" max="8706" width="33" style="83" customWidth="1"/>
    <col min="8707" max="8707" width="30" style="83" customWidth="1"/>
    <col min="8708" max="8708" width="9.5703125" style="83" customWidth="1"/>
    <col min="8709" max="8709" width="9.42578125" style="83" customWidth="1"/>
    <col min="8710" max="8714" width="9.140625" style="83"/>
    <col min="8715" max="8715" width="11" style="83" bestFit="1" customWidth="1"/>
    <col min="8716" max="8960" width="9.140625" style="83"/>
    <col min="8961" max="8961" width="7.140625" style="83" customWidth="1"/>
    <col min="8962" max="8962" width="33" style="83" customWidth="1"/>
    <col min="8963" max="8963" width="30" style="83" customWidth="1"/>
    <col min="8964" max="8964" width="9.5703125" style="83" customWidth="1"/>
    <col min="8965" max="8965" width="9.42578125" style="83" customWidth="1"/>
    <col min="8966" max="8970" width="9.140625" style="83"/>
    <col min="8971" max="8971" width="11" style="83" bestFit="1" customWidth="1"/>
    <col min="8972" max="9216" width="9.140625" style="83"/>
    <col min="9217" max="9217" width="7.140625" style="83" customWidth="1"/>
    <col min="9218" max="9218" width="33" style="83" customWidth="1"/>
    <col min="9219" max="9219" width="30" style="83" customWidth="1"/>
    <col min="9220" max="9220" width="9.5703125" style="83" customWidth="1"/>
    <col min="9221" max="9221" width="9.42578125" style="83" customWidth="1"/>
    <col min="9222" max="9226" width="9.140625" style="83"/>
    <col min="9227" max="9227" width="11" style="83" bestFit="1" customWidth="1"/>
    <col min="9228" max="9472" width="9.140625" style="83"/>
    <col min="9473" max="9473" width="7.140625" style="83" customWidth="1"/>
    <col min="9474" max="9474" width="33" style="83" customWidth="1"/>
    <col min="9475" max="9475" width="30" style="83" customWidth="1"/>
    <col min="9476" max="9476" width="9.5703125" style="83" customWidth="1"/>
    <col min="9477" max="9477" width="9.42578125" style="83" customWidth="1"/>
    <col min="9478" max="9482" width="9.140625" style="83"/>
    <col min="9483" max="9483" width="11" style="83" bestFit="1" customWidth="1"/>
    <col min="9484" max="9728" width="9.140625" style="83"/>
    <col min="9729" max="9729" width="7.140625" style="83" customWidth="1"/>
    <col min="9730" max="9730" width="33" style="83" customWidth="1"/>
    <col min="9731" max="9731" width="30" style="83" customWidth="1"/>
    <col min="9732" max="9732" width="9.5703125" style="83" customWidth="1"/>
    <col min="9733" max="9733" width="9.42578125" style="83" customWidth="1"/>
    <col min="9734" max="9738" width="9.140625" style="83"/>
    <col min="9739" max="9739" width="11" style="83" bestFit="1" customWidth="1"/>
    <col min="9740" max="9984" width="9.140625" style="83"/>
    <col min="9985" max="9985" width="7.140625" style="83" customWidth="1"/>
    <col min="9986" max="9986" width="33" style="83" customWidth="1"/>
    <col min="9987" max="9987" width="30" style="83" customWidth="1"/>
    <col min="9988" max="9988" width="9.5703125" style="83" customWidth="1"/>
    <col min="9989" max="9989" width="9.42578125" style="83" customWidth="1"/>
    <col min="9990" max="9994" width="9.140625" style="83"/>
    <col min="9995" max="9995" width="11" style="83" bestFit="1" customWidth="1"/>
    <col min="9996" max="10240" width="9.140625" style="83"/>
    <col min="10241" max="10241" width="7.140625" style="83" customWidth="1"/>
    <col min="10242" max="10242" width="33" style="83" customWidth="1"/>
    <col min="10243" max="10243" width="30" style="83" customWidth="1"/>
    <col min="10244" max="10244" width="9.5703125" style="83" customWidth="1"/>
    <col min="10245" max="10245" width="9.42578125" style="83" customWidth="1"/>
    <col min="10246" max="10250" width="9.140625" style="83"/>
    <col min="10251" max="10251" width="11" style="83" bestFit="1" customWidth="1"/>
    <col min="10252" max="10496" width="9.140625" style="83"/>
    <col min="10497" max="10497" width="7.140625" style="83" customWidth="1"/>
    <col min="10498" max="10498" width="33" style="83" customWidth="1"/>
    <col min="10499" max="10499" width="30" style="83" customWidth="1"/>
    <col min="10500" max="10500" width="9.5703125" style="83" customWidth="1"/>
    <col min="10501" max="10501" width="9.42578125" style="83" customWidth="1"/>
    <col min="10502" max="10506" width="9.140625" style="83"/>
    <col min="10507" max="10507" width="11" style="83" bestFit="1" customWidth="1"/>
    <col min="10508" max="10752" width="9.140625" style="83"/>
    <col min="10753" max="10753" width="7.140625" style="83" customWidth="1"/>
    <col min="10754" max="10754" width="33" style="83" customWidth="1"/>
    <col min="10755" max="10755" width="30" style="83" customWidth="1"/>
    <col min="10756" max="10756" width="9.5703125" style="83" customWidth="1"/>
    <col min="10757" max="10757" width="9.42578125" style="83" customWidth="1"/>
    <col min="10758" max="10762" width="9.140625" style="83"/>
    <col min="10763" max="10763" width="11" style="83" bestFit="1" customWidth="1"/>
    <col min="10764" max="11008" width="9.140625" style="83"/>
    <col min="11009" max="11009" width="7.140625" style="83" customWidth="1"/>
    <col min="11010" max="11010" width="33" style="83" customWidth="1"/>
    <col min="11011" max="11011" width="30" style="83" customWidth="1"/>
    <col min="11012" max="11012" width="9.5703125" style="83" customWidth="1"/>
    <col min="11013" max="11013" width="9.42578125" style="83" customWidth="1"/>
    <col min="11014" max="11018" width="9.140625" style="83"/>
    <col min="11019" max="11019" width="11" style="83" bestFit="1" customWidth="1"/>
    <col min="11020" max="11264" width="9.140625" style="83"/>
    <col min="11265" max="11265" width="7.140625" style="83" customWidth="1"/>
    <col min="11266" max="11266" width="33" style="83" customWidth="1"/>
    <col min="11267" max="11267" width="30" style="83" customWidth="1"/>
    <col min="11268" max="11268" width="9.5703125" style="83" customWidth="1"/>
    <col min="11269" max="11269" width="9.42578125" style="83" customWidth="1"/>
    <col min="11270" max="11274" width="9.140625" style="83"/>
    <col min="11275" max="11275" width="11" style="83" bestFit="1" customWidth="1"/>
    <col min="11276" max="11520" width="9.140625" style="83"/>
    <col min="11521" max="11521" width="7.140625" style="83" customWidth="1"/>
    <col min="11522" max="11522" width="33" style="83" customWidth="1"/>
    <col min="11523" max="11523" width="30" style="83" customWidth="1"/>
    <col min="11524" max="11524" width="9.5703125" style="83" customWidth="1"/>
    <col min="11525" max="11525" width="9.42578125" style="83" customWidth="1"/>
    <col min="11526" max="11530" width="9.140625" style="83"/>
    <col min="11531" max="11531" width="11" style="83" bestFit="1" customWidth="1"/>
    <col min="11532" max="11776" width="9.140625" style="83"/>
    <col min="11777" max="11777" width="7.140625" style="83" customWidth="1"/>
    <col min="11778" max="11778" width="33" style="83" customWidth="1"/>
    <col min="11779" max="11779" width="30" style="83" customWidth="1"/>
    <col min="11780" max="11780" width="9.5703125" style="83" customWidth="1"/>
    <col min="11781" max="11781" width="9.42578125" style="83" customWidth="1"/>
    <col min="11782" max="11786" width="9.140625" style="83"/>
    <col min="11787" max="11787" width="11" style="83" bestFit="1" customWidth="1"/>
    <col min="11788" max="12032" width="9.140625" style="83"/>
    <col min="12033" max="12033" width="7.140625" style="83" customWidth="1"/>
    <col min="12034" max="12034" width="33" style="83" customWidth="1"/>
    <col min="12035" max="12035" width="30" style="83" customWidth="1"/>
    <col min="12036" max="12036" width="9.5703125" style="83" customWidth="1"/>
    <col min="12037" max="12037" width="9.42578125" style="83" customWidth="1"/>
    <col min="12038" max="12042" width="9.140625" style="83"/>
    <col min="12043" max="12043" width="11" style="83" bestFit="1" customWidth="1"/>
    <col min="12044" max="12288" width="9.140625" style="83"/>
    <col min="12289" max="12289" width="7.140625" style="83" customWidth="1"/>
    <col min="12290" max="12290" width="33" style="83" customWidth="1"/>
    <col min="12291" max="12291" width="30" style="83" customWidth="1"/>
    <col min="12292" max="12292" width="9.5703125" style="83" customWidth="1"/>
    <col min="12293" max="12293" width="9.42578125" style="83" customWidth="1"/>
    <col min="12294" max="12298" width="9.140625" style="83"/>
    <col min="12299" max="12299" width="11" style="83" bestFit="1" customWidth="1"/>
    <col min="12300" max="12544" width="9.140625" style="83"/>
    <col min="12545" max="12545" width="7.140625" style="83" customWidth="1"/>
    <col min="12546" max="12546" width="33" style="83" customWidth="1"/>
    <col min="12547" max="12547" width="30" style="83" customWidth="1"/>
    <col min="12548" max="12548" width="9.5703125" style="83" customWidth="1"/>
    <col min="12549" max="12549" width="9.42578125" style="83" customWidth="1"/>
    <col min="12550" max="12554" width="9.140625" style="83"/>
    <col min="12555" max="12555" width="11" style="83" bestFit="1" customWidth="1"/>
    <col min="12556" max="12800" width="9.140625" style="83"/>
    <col min="12801" max="12801" width="7.140625" style="83" customWidth="1"/>
    <col min="12802" max="12802" width="33" style="83" customWidth="1"/>
    <col min="12803" max="12803" width="30" style="83" customWidth="1"/>
    <col min="12804" max="12804" width="9.5703125" style="83" customWidth="1"/>
    <col min="12805" max="12805" width="9.42578125" style="83" customWidth="1"/>
    <col min="12806" max="12810" width="9.140625" style="83"/>
    <col min="12811" max="12811" width="11" style="83" bestFit="1" customWidth="1"/>
    <col min="12812" max="13056" width="9.140625" style="83"/>
    <col min="13057" max="13057" width="7.140625" style="83" customWidth="1"/>
    <col min="13058" max="13058" width="33" style="83" customWidth="1"/>
    <col min="13059" max="13059" width="30" style="83" customWidth="1"/>
    <col min="13060" max="13060" width="9.5703125" style="83" customWidth="1"/>
    <col min="13061" max="13061" width="9.42578125" style="83" customWidth="1"/>
    <col min="13062" max="13066" width="9.140625" style="83"/>
    <col min="13067" max="13067" width="11" style="83" bestFit="1" customWidth="1"/>
    <col min="13068" max="13312" width="9.140625" style="83"/>
    <col min="13313" max="13313" width="7.140625" style="83" customWidth="1"/>
    <col min="13314" max="13314" width="33" style="83" customWidth="1"/>
    <col min="13315" max="13315" width="30" style="83" customWidth="1"/>
    <col min="13316" max="13316" width="9.5703125" style="83" customWidth="1"/>
    <col min="13317" max="13317" width="9.42578125" style="83" customWidth="1"/>
    <col min="13318" max="13322" width="9.140625" style="83"/>
    <col min="13323" max="13323" width="11" style="83" bestFit="1" customWidth="1"/>
    <col min="13324" max="13568" width="9.140625" style="83"/>
    <col min="13569" max="13569" width="7.140625" style="83" customWidth="1"/>
    <col min="13570" max="13570" width="33" style="83" customWidth="1"/>
    <col min="13571" max="13571" width="30" style="83" customWidth="1"/>
    <col min="13572" max="13572" width="9.5703125" style="83" customWidth="1"/>
    <col min="13573" max="13573" width="9.42578125" style="83" customWidth="1"/>
    <col min="13574" max="13578" width="9.140625" style="83"/>
    <col min="13579" max="13579" width="11" style="83" bestFit="1" customWidth="1"/>
    <col min="13580" max="13824" width="9.140625" style="83"/>
    <col min="13825" max="13825" width="7.140625" style="83" customWidth="1"/>
    <col min="13826" max="13826" width="33" style="83" customWidth="1"/>
    <col min="13827" max="13827" width="30" style="83" customWidth="1"/>
    <col min="13828" max="13828" width="9.5703125" style="83" customWidth="1"/>
    <col min="13829" max="13829" width="9.42578125" style="83" customWidth="1"/>
    <col min="13830" max="13834" width="9.140625" style="83"/>
    <col min="13835" max="13835" width="11" style="83" bestFit="1" customWidth="1"/>
    <col min="13836" max="14080" width="9.140625" style="83"/>
    <col min="14081" max="14081" width="7.140625" style="83" customWidth="1"/>
    <col min="14082" max="14082" width="33" style="83" customWidth="1"/>
    <col min="14083" max="14083" width="30" style="83" customWidth="1"/>
    <col min="14084" max="14084" width="9.5703125" style="83" customWidth="1"/>
    <col min="14085" max="14085" width="9.42578125" style="83" customWidth="1"/>
    <col min="14086" max="14090" width="9.140625" style="83"/>
    <col min="14091" max="14091" width="11" style="83" bestFit="1" customWidth="1"/>
    <col min="14092" max="14336" width="9.140625" style="83"/>
    <col min="14337" max="14337" width="7.140625" style="83" customWidth="1"/>
    <col min="14338" max="14338" width="33" style="83" customWidth="1"/>
    <col min="14339" max="14339" width="30" style="83" customWidth="1"/>
    <col min="14340" max="14340" width="9.5703125" style="83" customWidth="1"/>
    <col min="14341" max="14341" width="9.42578125" style="83" customWidth="1"/>
    <col min="14342" max="14346" width="9.140625" style="83"/>
    <col min="14347" max="14347" width="11" style="83" bestFit="1" customWidth="1"/>
    <col min="14348" max="14592" width="9.140625" style="83"/>
    <col min="14593" max="14593" width="7.140625" style="83" customWidth="1"/>
    <col min="14594" max="14594" width="33" style="83" customWidth="1"/>
    <col min="14595" max="14595" width="30" style="83" customWidth="1"/>
    <col min="14596" max="14596" width="9.5703125" style="83" customWidth="1"/>
    <col min="14597" max="14597" width="9.42578125" style="83" customWidth="1"/>
    <col min="14598" max="14602" width="9.140625" style="83"/>
    <col min="14603" max="14603" width="11" style="83" bestFit="1" customWidth="1"/>
    <col min="14604" max="14848" width="9.140625" style="83"/>
    <col min="14849" max="14849" width="7.140625" style="83" customWidth="1"/>
    <col min="14850" max="14850" width="33" style="83" customWidth="1"/>
    <col min="14851" max="14851" width="30" style="83" customWidth="1"/>
    <col min="14852" max="14852" width="9.5703125" style="83" customWidth="1"/>
    <col min="14853" max="14853" width="9.42578125" style="83" customWidth="1"/>
    <col min="14854" max="14858" width="9.140625" style="83"/>
    <col min="14859" max="14859" width="11" style="83" bestFit="1" customWidth="1"/>
    <col min="14860" max="15104" width="9.140625" style="83"/>
    <col min="15105" max="15105" width="7.140625" style="83" customWidth="1"/>
    <col min="15106" max="15106" width="33" style="83" customWidth="1"/>
    <col min="15107" max="15107" width="30" style="83" customWidth="1"/>
    <col min="15108" max="15108" width="9.5703125" style="83" customWidth="1"/>
    <col min="15109" max="15109" width="9.42578125" style="83" customWidth="1"/>
    <col min="15110" max="15114" width="9.140625" style="83"/>
    <col min="15115" max="15115" width="11" style="83" bestFit="1" customWidth="1"/>
    <col min="15116" max="15360" width="9.140625" style="83"/>
    <col min="15361" max="15361" width="7.140625" style="83" customWidth="1"/>
    <col min="15362" max="15362" width="33" style="83" customWidth="1"/>
    <col min="15363" max="15363" width="30" style="83" customWidth="1"/>
    <col min="15364" max="15364" width="9.5703125" style="83" customWidth="1"/>
    <col min="15365" max="15365" width="9.42578125" style="83" customWidth="1"/>
    <col min="15366" max="15370" width="9.140625" style="83"/>
    <col min="15371" max="15371" width="11" style="83" bestFit="1" customWidth="1"/>
    <col min="15372" max="15616" width="9.140625" style="83"/>
    <col min="15617" max="15617" width="7.140625" style="83" customWidth="1"/>
    <col min="15618" max="15618" width="33" style="83" customWidth="1"/>
    <col min="15619" max="15619" width="30" style="83" customWidth="1"/>
    <col min="15620" max="15620" width="9.5703125" style="83" customWidth="1"/>
    <col min="15621" max="15621" width="9.42578125" style="83" customWidth="1"/>
    <col min="15622" max="15626" width="9.140625" style="83"/>
    <col min="15627" max="15627" width="11" style="83" bestFit="1" customWidth="1"/>
    <col min="15628" max="15872" width="9.140625" style="83"/>
    <col min="15873" max="15873" width="7.140625" style="83" customWidth="1"/>
    <col min="15874" max="15874" width="33" style="83" customWidth="1"/>
    <col min="15875" max="15875" width="30" style="83" customWidth="1"/>
    <col min="15876" max="15876" width="9.5703125" style="83" customWidth="1"/>
    <col min="15877" max="15877" width="9.42578125" style="83" customWidth="1"/>
    <col min="15878" max="15882" width="9.140625" style="83"/>
    <col min="15883" max="15883" width="11" style="83" bestFit="1" customWidth="1"/>
    <col min="15884" max="16128" width="9.140625" style="83"/>
    <col min="16129" max="16129" width="7.140625" style="83" customWidth="1"/>
    <col min="16130" max="16130" width="33" style="83" customWidth="1"/>
    <col min="16131" max="16131" width="30" style="83" customWidth="1"/>
    <col min="16132" max="16132" width="9.5703125" style="83" customWidth="1"/>
    <col min="16133" max="16133" width="9.42578125" style="83" customWidth="1"/>
    <col min="16134" max="16138" width="9.140625" style="83"/>
    <col min="16139" max="16139" width="11" style="83" bestFit="1" customWidth="1"/>
    <col min="16140" max="16384" width="9.140625" style="83"/>
  </cols>
  <sheetData>
    <row r="3" spans="2:9" ht="27" customHeight="1">
      <c r="C3" s="691" t="s">
        <v>1158</v>
      </c>
      <c r="D3" s="692"/>
      <c r="E3" s="692"/>
      <c r="F3" s="692"/>
      <c r="G3" s="692"/>
      <c r="H3" s="692"/>
      <c r="I3" s="692"/>
    </row>
    <row r="4" spans="2:9">
      <c r="B4" s="79" t="s">
        <v>357</v>
      </c>
    </row>
    <row r="5" spans="2:9" ht="17.25">
      <c r="C5" s="736" t="s">
        <v>411</v>
      </c>
      <c r="D5" s="736"/>
      <c r="E5" s="736"/>
      <c r="F5" s="736"/>
      <c r="G5" s="736"/>
      <c r="H5" s="736"/>
      <c r="I5" s="736"/>
    </row>
    <row r="6" spans="2:9" ht="17.25">
      <c r="C6" s="336"/>
      <c r="D6" s="336"/>
      <c r="E6" s="336"/>
      <c r="F6" s="336"/>
      <c r="G6" s="336"/>
      <c r="H6" s="336"/>
      <c r="I6" s="336"/>
    </row>
    <row r="7" spans="2:9" ht="15.75">
      <c r="C7" s="243"/>
      <c r="D7" s="243"/>
      <c r="E7" s="243"/>
      <c r="F7" s="243"/>
      <c r="G7" s="267" t="s">
        <v>929</v>
      </c>
      <c r="H7" s="267" t="s">
        <v>930</v>
      </c>
      <c r="I7" s="223">
        <v>84.5</v>
      </c>
    </row>
    <row r="9" spans="2:9" ht="33.75" customHeight="1" thickBot="1">
      <c r="B9" s="80" t="s">
        <v>3</v>
      </c>
      <c r="C9" s="741" t="str">
        <f>'Costed Impl plan'!C12</f>
        <v>Provide basic HIV prevention services for key populations  (BCC, condom/lubricants and NSE for PWID)</v>
      </c>
      <c r="D9" s="741"/>
      <c r="E9" s="742"/>
      <c r="F9" s="742"/>
      <c r="G9" s="742"/>
      <c r="H9" s="83"/>
    </row>
    <row r="10" spans="2:9" ht="24.75" customHeight="1">
      <c r="B10" s="81"/>
      <c r="C10" s="745" t="str">
        <f>'Costed Impl plan'!D13</f>
        <v>Brothel based FSW</v>
      </c>
      <c r="D10" s="746"/>
      <c r="E10" s="746"/>
      <c r="F10" s="746"/>
      <c r="G10" s="746"/>
      <c r="H10" s="367"/>
      <c r="I10" s="379" t="s">
        <v>651</v>
      </c>
    </row>
    <row r="11" spans="2:9">
      <c r="B11" s="81"/>
      <c r="C11" s="77" t="s">
        <v>382</v>
      </c>
      <c r="D11" s="82"/>
      <c r="E11" s="82" t="s">
        <v>383</v>
      </c>
      <c r="F11" s="82"/>
      <c r="G11" s="267" t="s">
        <v>384</v>
      </c>
      <c r="H11" s="267" t="s">
        <v>928</v>
      </c>
      <c r="I11" s="380"/>
    </row>
    <row r="12" spans="2:9">
      <c r="C12" s="72" t="s">
        <v>385</v>
      </c>
      <c r="D12" s="74"/>
      <c r="E12" s="74" t="s">
        <v>386</v>
      </c>
      <c r="F12" s="74"/>
      <c r="G12" s="164"/>
      <c r="H12" s="164"/>
      <c r="I12" s="751"/>
    </row>
    <row r="13" spans="2:9">
      <c r="C13" s="72" t="s">
        <v>387</v>
      </c>
      <c r="D13" s="74"/>
      <c r="E13" s="74" t="s">
        <v>388</v>
      </c>
      <c r="F13" s="74"/>
      <c r="G13" s="164"/>
      <c r="H13" s="164"/>
      <c r="I13" s="751"/>
    </row>
    <row r="14" spans="2:9">
      <c r="C14" s="72" t="s">
        <v>389</v>
      </c>
      <c r="D14" s="74"/>
      <c r="E14" s="74" t="s">
        <v>390</v>
      </c>
      <c r="F14" s="74"/>
      <c r="G14" s="164"/>
      <c r="H14" s="164"/>
      <c r="I14" s="751"/>
    </row>
    <row r="15" spans="2:9">
      <c r="C15" s="72" t="s">
        <v>391</v>
      </c>
      <c r="D15" s="74"/>
      <c r="E15" s="74" t="s">
        <v>392</v>
      </c>
      <c r="F15" s="74"/>
      <c r="G15" s="164"/>
      <c r="H15" s="164"/>
      <c r="I15" s="751"/>
    </row>
    <row r="16" spans="2:9">
      <c r="C16" s="72" t="s">
        <v>393</v>
      </c>
      <c r="D16" s="74"/>
      <c r="E16" s="74" t="s">
        <v>394</v>
      </c>
      <c r="F16" s="74"/>
      <c r="G16" s="164"/>
      <c r="H16" s="164"/>
      <c r="I16" s="751"/>
    </row>
    <row r="17" spans="3:9">
      <c r="C17" s="72" t="s">
        <v>395</v>
      </c>
      <c r="D17" s="74"/>
      <c r="E17" s="74" t="s">
        <v>396</v>
      </c>
      <c r="F17" s="74"/>
      <c r="G17" s="164"/>
      <c r="H17" s="164"/>
      <c r="I17" s="751"/>
    </row>
    <row r="18" spans="3:9">
      <c r="C18" s="72" t="s">
        <v>397</v>
      </c>
      <c r="D18" s="74"/>
      <c r="E18" s="74" t="s">
        <v>398</v>
      </c>
      <c r="F18" s="74"/>
      <c r="G18" s="164"/>
      <c r="H18" s="164"/>
      <c r="I18" s="751"/>
    </row>
    <row r="19" spans="3:9">
      <c r="C19" s="72" t="s">
        <v>240</v>
      </c>
      <c r="D19" s="74"/>
      <c r="E19" s="74" t="s">
        <v>399</v>
      </c>
      <c r="F19" s="74"/>
      <c r="G19" s="164"/>
      <c r="H19" s="164"/>
      <c r="I19" s="751"/>
    </row>
    <row r="20" spans="3:9">
      <c r="C20" s="72" t="s">
        <v>400</v>
      </c>
      <c r="D20" s="74"/>
      <c r="E20" s="74"/>
      <c r="F20" s="74"/>
      <c r="G20" s="164"/>
      <c r="H20" s="164"/>
      <c r="I20" s="751"/>
    </row>
    <row r="21" spans="3:9">
      <c r="C21" s="72" t="s">
        <v>401</v>
      </c>
      <c r="D21" s="74"/>
      <c r="E21" s="74"/>
      <c r="F21" s="74"/>
      <c r="G21" s="164"/>
      <c r="H21" s="164"/>
      <c r="I21" s="751"/>
    </row>
    <row r="22" spans="3:9">
      <c r="C22" s="72" t="s">
        <v>402</v>
      </c>
      <c r="D22" s="74"/>
      <c r="E22" s="74"/>
      <c r="F22" s="74"/>
      <c r="G22" s="164"/>
      <c r="H22" s="164"/>
      <c r="I22" s="751"/>
    </row>
    <row r="23" spans="3:9">
      <c r="C23" s="72" t="s">
        <v>403</v>
      </c>
      <c r="D23" s="74"/>
      <c r="E23" s="74"/>
      <c r="F23" s="74"/>
      <c r="G23" s="164"/>
      <c r="H23" s="164"/>
      <c r="I23" s="751"/>
    </row>
    <row r="24" spans="3:9">
      <c r="C24" s="72" t="s">
        <v>404</v>
      </c>
      <c r="D24" s="74"/>
      <c r="E24" s="74"/>
      <c r="F24" s="74"/>
      <c r="G24" s="164"/>
      <c r="H24" s="164"/>
      <c r="I24" s="751"/>
    </row>
    <row r="25" spans="3:9">
      <c r="C25" s="72" t="s">
        <v>405</v>
      </c>
      <c r="D25" s="74"/>
      <c r="E25" s="74"/>
      <c r="F25" s="74"/>
      <c r="G25" s="164"/>
      <c r="H25" s="164"/>
      <c r="I25" s="751"/>
    </row>
    <row r="26" spans="3:9">
      <c r="C26" s="77" t="s">
        <v>406</v>
      </c>
      <c r="D26" s="82"/>
      <c r="E26" s="82"/>
      <c r="F26" s="82"/>
      <c r="G26" s="294">
        <f>120*1.05</f>
        <v>126</v>
      </c>
      <c r="H26" s="656">
        <f>46000/6</f>
        <v>7666.666666666667</v>
      </c>
      <c r="I26" s="751"/>
    </row>
    <row r="27" spans="3:9" ht="15.75" thickBot="1">
      <c r="C27" s="710" t="s">
        <v>1031</v>
      </c>
      <c r="D27" s="711"/>
      <c r="E27" s="711"/>
      <c r="F27" s="711"/>
      <c r="G27" s="711"/>
      <c r="H27" s="711"/>
      <c r="I27" s="712"/>
    </row>
    <row r="28" spans="3:9" ht="15.75" thickBot="1">
      <c r="C28" s="146"/>
      <c r="D28" s="147"/>
      <c r="E28" s="147"/>
      <c r="F28" s="147"/>
      <c r="G28" s="268"/>
      <c r="H28" s="268"/>
    </row>
    <row r="29" spans="3:9" ht="28.5" customHeight="1">
      <c r="C29" s="745" t="str">
        <f>'Costed Impl plan'!D14</f>
        <v>Street Based FSW</v>
      </c>
      <c r="D29" s="746"/>
      <c r="E29" s="746"/>
      <c r="F29" s="746"/>
      <c r="G29" s="746"/>
      <c r="H29" s="367"/>
      <c r="I29" s="379" t="s">
        <v>651</v>
      </c>
    </row>
    <row r="30" spans="3:9" ht="16.5" customHeight="1">
      <c r="C30" s="368"/>
      <c r="D30" s="369"/>
      <c r="E30" s="369"/>
      <c r="F30" s="369"/>
      <c r="G30" s="98" t="s">
        <v>384</v>
      </c>
      <c r="H30" s="98" t="s">
        <v>931</v>
      </c>
      <c r="I30" s="752"/>
    </row>
    <row r="31" spans="3:9">
      <c r="C31" s="77" t="s">
        <v>406</v>
      </c>
      <c r="D31" s="82"/>
      <c r="E31" s="74"/>
      <c r="F31" s="74"/>
      <c r="G31" s="294">
        <f>117.940748732517*1.05</f>
        <v>123.83778616914284</v>
      </c>
      <c r="H31" s="267">
        <f>G31*I7</f>
        <v>10464.29293129257</v>
      </c>
      <c r="I31" s="752"/>
    </row>
    <row r="32" spans="3:9" ht="15.75" thickBot="1">
      <c r="C32" s="710" t="s">
        <v>1031</v>
      </c>
      <c r="D32" s="711"/>
      <c r="E32" s="711"/>
      <c r="F32" s="711"/>
      <c r="G32" s="711"/>
      <c r="H32" s="711"/>
      <c r="I32" s="712"/>
    </row>
    <row r="33" spans="2:9">
      <c r="C33" s="84"/>
      <c r="D33" s="123"/>
    </row>
    <row r="34" spans="2:9" ht="15.75" thickBot="1"/>
    <row r="35" spans="2:9" ht="21" customHeight="1">
      <c r="C35" s="745" t="str">
        <f>'Costed Impl plan'!D15</f>
        <v>Hotel &amp; residence based FSW</v>
      </c>
      <c r="D35" s="746"/>
      <c r="E35" s="746"/>
      <c r="F35" s="746"/>
      <c r="G35" s="746"/>
      <c r="H35" s="405"/>
      <c r="I35" s="379" t="s">
        <v>651</v>
      </c>
    </row>
    <row r="36" spans="2:9" ht="16.5" customHeight="1">
      <c r="C36" s="423"/>
      <c r="D36" s="410"/>
      <c r="E36" s="410"/>
      <c r="F36" s="410"/>
      <c r="G36" s="98" t="s">
        <v>384</v>
      </c>
      <c r="H36" s="98" t="s">
        <v>931</v>
      </c>
      <c r="I36" s="752"/>
    </row>
    <row r="37" spans="2:9">
      <c r="C37" s="77" t="s">
        <v>406</v>
      </c>
      <c r="D37" s="82"/>
      <c r="E37" s="74"/>
      <c r="F37" s="74"/>
      <c r="G37" s="294">
        <f>117.940748732517*1.05</f>
        <v>123.83778616914284</v>
      </c>
      <c r="H37" s="267">
        <f>G37*I7</f>
        <v>10464.29293129257</v>
      </c>
      <c r="I37" s="752"/>
    </row>
    <row r="38" spans="2:9" ht="15.75" thickBot="1">
      <c r="C38" s="710" t="s">
        <v>1031</v>
      </c>
      <c r="D38" s="711"/>
      <c r="E38" s="711"/>
      <c r="F38" s="711"/>
      <c r="G38" s="711"/>
      <c r="H38" s="711"/>
      <c r="I38" s="712"/>
    </row>
    <row r="39" spans="2:9">
      <c r="C39" s="85"/>
      <c r="D39" s="124"/>
      <c r="E39" s="138"/>
      <c r="F39" s="138"/>
      <c r="G39" s="269"/>
      <c r="H39" s="269"/>
    </row>
    <row r="40" spans="2:9" ht="15.75" thickBot="1"/>
    <row r="41" spans="2:9" s="146" customFormat="1" ht="24" customHeight="1">
      <c r="B41" s="167"/>
      <c r="C41" s="743" t="str">
        <f>'Impl plan'!D12</f>
        <v>MSW</v>
      </c>
      <c r="D41" s="744"/>
      <c r="E41" s="744"/>
      <c r="F41" s="744"/>
      <c r="G41" s="744"/>
      <c r="H41" s="411"/>
      <c r="I41" s="424" t="s">
        <v>651</v>
      </c>
    </row>
    <row r="42" spans="2:9" s="146" customFormat="1" ht="16.5" customHeight="1">
      <c r="B42" s="167"/>
      <c r="C42" s="423"/>
      <c r="D42" s="410"/>
      <c r="E42" s="410"/>
      <c r="F42" s="410"/>
      <c r="G42" s="98" t="s">
        <v>384</v>
      </c>
      <c r="H42" s="98" t="s">
        <v>931</v>
      </c>
      <c r="I42" s="425"/>
    </row>
    <row r="43" spans="2:9" s="146" customFormat="1">
      <c r="B43" s="167"/>
      <c r="C43" s="66" t="s">
        <v>406</v>
      </c>
      <c r="D43" s="70"/>
      <c r="E43" s="112"/>
      <c r="F43" s="112"/>
      <c r="G43" s="352">
        <f>114.620926809975*1.05</f>
        <v>120.35197315047375</v>
      </c>
      <c r="H43" s="272">
        <f>G43*I7</f>
        <v>10169.741731215032</v>
      </c>
      <c r="I43" s="425"/>
    </row>
    <row r="44" spans="2:9" s="146" customFormat="1" ht="15.75" thickBot="1">
      <c r="B44" s="167"/>
      <c r="C44" s="710" t="s">
        <v>1031</v>
      </c>
      <c r="D44" s="711"/>
      <c r="E44" s="711"/>
      <c r="F44" s="711"/>
      <c r="G44" s="711"/>
      <c r="H44" s="711"/>
      <c r="I44" s="712"/>
    </row>
    <row r="45" spans="2:9" s="146" customFormat="1">
      <c r="B45" s="167"/>
      <c r="C45" s="353"/>
      <c r="D45" s="354"/>
      <c r="E45" s="166"/>
      <c r="F45" s="166"/>
      <c r="G45" s="287"/>
      <c r="H45" s="287"/>
    </row>
    <row r="46" spans="2:9" s="146" customFormat="1" ht="15.75" thickBot="1">
      <c r="B46" s="167"/>
      <c r="C46" s="353"/>
      <c r="D46" s="354"/>
      <c r="E46" s="166"/>
      <c r="F46" s="166"/>
      <c r="G46" s="287"/>
      <c r="H46" s="287"/>
    </row>
    <row r="47" spans="2:9" s="146" customFormat="1" ht="23.25" customHeight="1">
      <c r="B47" s="167"/>
      <c r="C47" s="743" t="str">
        <f>'Costed Impl plan'!D17</f>
        <v>Hijra</v>
      </c>
      <c r="D47" s="744"/>
      <c r="E47" s="744"/>
      <c r="F47" s="744"/>
      <c r="G47" s="744"/>
      <c r="H47" s="411"/>
      <c r="I47" s="424" t="s">
        <v>651</v>
      </c>
    </row>
    <row r="48" spans="2:9" s="146" customFormat="1" ht="16.5" customHeight="1">
      <c r="B48" s="167"/>
      <c r="C48" s="423"/>
      <c r="D48" s="410"/>
      <c r="E48" s="410"/>
      <c r="F48" s="410"/>
      <c r="G48" s="98" t="s">
        <v>384</v>
      </c>
      <c r="H48" s="98" t="s">
        <v>931</v>
      </c>
      <c r="I48" s="425"/>
    </row>
    <row r="49" spans="2:9" s="146" customFormat="1">
      <c r="B49" s="167"/>
      <c r="C49" s="66" t="s">
        <v>406</v>
      </c>
      <c r="D49" s="70"/>
      <c r="E49" s="112"/>
      <c r="F49" s="112"/>
      <c r="G49" s="272">
        <f>109*1.05</f>
        <v>114.45</v>
      </c>
      <c r="H49" s="272">
        <f>G49*I7</f>
        <v>9671.0249999999996</v>
      </c>
      <c r="I49" s="425"/>
    </row>
    <row r="50" spans="2:9" s="146" customFormat="1" ht="15.75" thickBot="1">
      <c r="B50" s="167"/>
      <c r="C50" s="710" t="s">
        <v>1031</v>
      </c>
      <c r="D50" s="711"/>
      <c r="E50" s="711"/>
      <c r="F50" s="711"/>
      <c r="G50" s="711"/>
      <c r="H50" s="711"/>
      <c r="I50" s="712"/>
    </row>
    <row r="51" spans="2:9" s="146" customFormat="1">
      <c r="B51" s="167"/>
      <c r="C51" s="353"/>
      <c r="D51" s="354"/>
      <c r="E51" s="166"/>
      <c r="F51" s="166"/>
      <c r="G51" s="287"/>
      <c r="H51" s="287"/>
    </row>
    <row r="52" spans="2:9" s="146" customFormat="1" ht="15.75" thickBot="1">
      <c r="B52" s="167"/>
      <c r="C52" s="353"/>
      <c r="D52" s="354"/>
      <c r="E52" s="166"/>
      <c r="F52" s="166"/>
      <c r="G52" s="287"/>
      <c r="H52" s="287"/>
    </row>
    <row r="53" spans="2:9" s="146" customFormat="1">
      <c r="B53" s="167"/>
      <c r="C53" s="743" t="str">
        <f>'Costed Impl plan'!D18</f>
        <v>MSM</v>
      </c>
      <c r="D53" s="744"/>
      <c r="E53" s="744"/>
      <c r="F53" s="744"/>
      <c r="G53" s="744"/>
      <c r="H53" s="411"/>
      <c r="I53" s="424" t="s">
        <v>651</v>
      </c>
    </row>
    <row r="54" spans="2:9" s="146" customFormat="1" ht="16.5" customHeight="1">
      <c r="B54" s="167"/>
      <c r="C54" s="423"/>
      <c r="D54" s="410"/>
      <c r="E54" s="410"/>
      <c r="F54" s="410"/>
      <c r="G54" s="98" t="s">
        <v>384</v>
      </c>
      <c r="H54" s="98" t="s">
        <v>931</v>
      </c>
      <c r="I54" s="425"/>
    </row>
    <row r="55" spans="2:9" s="146" customFormat="1">
      <c r="B55" s="167"/>
      <c r="C55" s="66" t="s">
        <v>406</v>
      </c>
      <c r="D55" s="70"/>
      <c r="E55" s="112"/>
      <c r="F55" s="112"/>
      <c r="G55" s="352">
        <f>95.53*1.05</f>
        <v>100.3065</v>
      </c>
      <c r="H55" s="272">
        <f>G55*I7</f>
        <v>8475.8992500000004</v>
      </c>
      <c r="I55" s="425"/>
    </row>
    <row r="56" spans="2:9" s="146" customFormat="1" ht="15.75" thickBot="1">
      <c r="B56" s="167"/>
      <c r="C56" s="710" t="s">
        <v>1031</v>
      </c>
      <c r="D56" s="711"/>
      <c r="E56" s="711"/>
      <c r="F56" s="711"/>
      <c r="G56" s="711"/>
      <c r="H56" s="711"/>
      <c r="I56" s="712"/>
    </row>
    <row r="57" spans="2:9">
      <c r="C57" s="86"/>
      <c r="D57" s="124"/>
      <c r="E57" s="138"/>
      <c r="F57" s="138"/>
      <c r="G57" s="269"/>
      <c r="H57" s="269"/>
    </row>
    <row r="58" spans="2:9">
      <c r="C58" s="86"/>
      <c r="D58" s="124"/>
      <c r="E58" s="138"/>
      <c r="F58" s="138"/>
      <c r="G58" s="269"/>
      <c r="H58" s="269"/>
    </row>
    <row r="59" spans="2:9" ht="15.75" thickBot="1">
      <c r="C59" s="86"/>
      <c r="D59" s="124"/>
      <c r="E59" s="138"/>
      <c r="F59" s="138"/>
      <c r="G59" s="269"/>
      <c r="H59" s="269"/>
    </row>
    <row r="60" spans="2:9" ht="28.5" customHeight="1">
      <c r="C60" s="745" t="str">
        <f>'Costed Impl plan'!D19</f>
        <v>Male PWID</v>
      </c>
      <c r="D60" s="746"/>
      <c r="E60" s="746"/>
      <c r="F60" s="746"/>
      <c r="G60" s="746"/>
      <c r="H60" s="405"/>
      <c r="I60" s="379" t="s">
        <v>651</v>
      </c>
    </row>
    <row r="61" spans="2:9">
      <c r="C61" s="77" t="s">
        <v>417</v>
      </c>
      <c r="D61" s="82"/>
      <c r="E61" s="82" t="s">
        <v>383</v>
      </c>
      <c r="F61" s="74"/>
      <c r="G61" s="267" t="s">
        <v>384</v>
      </c>
      <c r="H61" s="267" t="s">
        <v>931</v>
      </c>
      <c r="I61" s="376"/>
    </row>
    <row r="62" spans="2:9">
      <c r="C62" s="72" t="s">
        <v>385</v>
      </c>
      <c r="D62" s="74"/>
      <c r="E62" s="74" t="s">
        <v>386</v>
      </c>
      <c r="F62" s="74"/>
      <c r="G62" s="164"/>
      <c r="H62" s="164"/>
      <c r="I62" s="376"/>
    </row>
    <row r="63" spans="2:9">
      <c r="C63" s="72" t="s">
        <v>425</v>
      </c>
      <c r="D63" s="74"/>
      <c r="E63" s="74" t="s">
        <v>407</v>
      </c>
      <c r="F63" s="74"/>
      <c r="G63" s="164"/>
      <c r="H63" s="164"/>
      <c r="I63" s="376"/>
    </row>
    <row r="64" spans="2:9">
      <c r="C64" s="72" t="s">
        <v>393</v>
      </c>
      <c r="D64" s="74"/>
      <c r="E64" s="74" t="s">
        <v>388</v>
      </c>
      <c r="F64" s="74"/>
      <c r="G64" s="164"/>
      <c r="H64" s="164"/>
      <c r="I64" s="376"/>
    </row>
    <row r="65" spans="3:9">
      <c r="C65" s="72" t="s">
        <v>438</v>
      </c>
      <c r="D65" s="74"/>
      <c r="E65" s="74" t="s">
        <v>390</v>
      </c>
      <c r="F65" s="74"/>
      <c r="G65" s="164"/>
      <c r="H65" s="164"/>
      <c r="I65" s="376"/>
    </row>
    <row r="66" spans="3:9">
      <c r="C66" s="72" t="s">
        <v>421</v>
      </c>
      <c r="D66" s="74"/>
      <c r="E66" s="74" t="s">
        <v>392</v>
      </c>
      <c r="F66" s="74"/>
      <c r="G66" s="164"/>
      <c r="H66" s="164"/>
      <c r="I66" s="376"/>
    </row>
    <row r="67" spans="3:9">
      <c r="C67" s="72" t="s">
        <v>1002</v>
      </c>
      <c r="D67" s="74"/>
      <c r="E67" s="74" t="s">
        <v>394</v>
      </c>
      <c r="F67" s="74"/>
      <c r="G67" s="164"/>
      <c r="H67" s="164"/>
      <c r="I67" s="376"/>
    </row>
    <row r="68" spans="3:9">
      <c r="C68" s="72" t="s">
        <v>1003</v>
      </c>
      <c r="D68" s="74"/>
      <c r="E68" s="74" t="s">
        <v>396</v>
      </c>
      <c r="F68" s="74"/>
      <c r="G68" s="164"/>
      <c r="H68" s="164"/>
      <c r="I68" s="376"/>
    </row>
    <row r="69" spans="3:9">
      <c r="C69" s="72" t="s">
        <v>240</v>
      </c>
      <c r="D69" s="74"/>
      <c r="E69" s="74" t="s">
        <v>408</v>
      </c>
      <c r="F69" s="74"/>
      <c r="G69" s="164"/>
      <c r="H69" s="164"/>
      <c r="I69" s="376"/>
    </row>
    <row r="70" spans="3:9">
      <c r="C70" s="72" t="s">
        <v>1004</v>
      </c>
      <c r="D70" s="74"/>
      <c r="E70" s="74" t="s">
        <v>398</v>
      </c>
      <c r="F70" s="74"/>
      <c r="G70" s="164"/>
      <c r="H70" s="164"/>
      <c r="I70" s="376"/>
    </row>
    <row r="71" spans="3:9">
      <c r="C71" s="72" t="s">
        <v>423</v>
      </c>
      <c r="D71" s="74"/>
      <c r="E71" s="74" t="s">
        <v>399</v>
      </c>
      <c r="F71" s="74"/>
      <c r="G71" s="164"/>
      <c r="H71" s="164"/>
      <c r="I71" s="376"/>
    </row>
    <row r="72" spans="3:9">
      <c r="C72" s="72" t="s">
        <v>431</v>
      </c>
      <c r="D72" s="74"/>
      <c r="E72" s="74"/>
      <c r="F72" s="74"/>
      <c r="G72" s="164"/>
      <c r="H72" s="164"/>
      <c r="I72" s="376"/>
    </row>
    <row r="73" spans="3:9">
      <c r="C73" s="72" t="s">
        <v>404</v>
      </c>
      <c r="D73" s="74"/>
      <c r="E73" s="74"/>
      <c r="F73" s="74"/>
      <c r="G73" s="164"/>
      <c r="H73" s="164"/>
      <c r="I73" s="376"/>
    </row>
    <row r="74" spans="3:9">
      <c r="C74" s="72" t="s">
        <v>405</v>
      </c>
      <c r="D74" s="74"/>
      <c r="E74" s="74"/>
      <c r="F74" s="74"/>
      <c r="G74" s="164"/>
      <c r="H74" s="164"/>
      <c r="I74" s="376"/>
    </row>
    <row r="75" spans="3:9">
      <c r="C75" s="77" t="s">
        <v>406</v>
      </c>
      <c r="D75" s="82"/>
      <c r="E75" s="74"/>
      <c r="F75" s="74"/>
      <c r="G75" s="264">
        <f>230.623171239321*1.15</f>
        <v>265.21664692521915</v>
      </c>
      <c r="H75" s="267">
        <f>G75*I7</f>
        <v>22410.806665181019</v>
      </c>
      <c r="I75" s="376"/>
    </row>
    <row r="76" spans="3:9" ht="15.75" thickBot="1">
      <c r="C76" s="710" t="s">
        <v>1031</v>
      </c>
      <c r="D76" s="711"/>
      <c r="E76" s="711"/>
      <c r="F76" s="711"/>
      <c r="G76" s="711"/>
      <c r="H76" s="711"/>
      <c r="I76" s="712"/>
    </row>
    <row r="77" spans="3:9">
      <c r="C77" s="86"/>
      <c r="D77" s="124"/>
      <c r="E77" s="138"/>
      <c r="F77" s="138"/>
      <c r="G77" s="269"/>
      <c r="H77" s="269"/>
    </row>
    <row r="78" spans="3:9" ht="15.75" thickBot="1">
      <c r="C78" s="86"/>
      <c r="D78" s="124"/>
      <c r="E78" s="138"/>
      <c r="F78" s="138"/>
      <c r="G78" s="269"/>
      <c r="H78" s="269"/>
    </row>
    <row r="79" spans="3:9">
      <c r="C79" s="745" t="str">
        <f>'Costed Impl plan'!D20</f>
        <v>Female PWID</v>
      </c>
      <c r="D79" s="746"/>
      <c r="E79" s="746"/>
      <c r="F79" s="746"/>
      <c r="G79" s="746"/>
      <c r="H79" s="405"/>
      <c r="I79" s="379" t="s">
        <v>651</v>
      </c>
    </row>
    <row r="80" spans="3:9">
      <c r="C80" s="77" t="s">
        <v>406</v>
      </c>
      <c r="D80" s="82"/>
      <c r="E80" s="74"/>
      <c r="F80" s="74"/>
      <c r="G80" s="265">
        <f>G75</f>
        <v>265.21664692521915</v>
      </c>
      <c r="H80" s="206">
        <f>G80*I7</f>
        <v>22410.806665181019</v>
      </c>
      <c r="I80" s="376"/>
    </row>
    <row r="81" spans="2:9" ht="15.75" thickBot="1">
      <c r="C81" s="710" t="s">
        <v>1031</v>
      </c>
      <c r="D81" s="711"/>
      <c r="E81" s="711"/>
      <c r="F81" s="711"/>
      <c r="G81" s="711"/>
      <c r="H81" s="711"/>
      <c r="I81" s="712"/>
    </row>
    <row r="82" spans="2:9">
      <c r="C82" s="86"/>
      <c r="D82" s="124"/>
      <c r="E82" s="138"/>
      <c r="F82" s="138"/>
      <c r="G82" s="269"/>
      <c r="H82" s="269"/>
    </row>
    <row r="83" spans="2:9" ht="15.75" thickBot="1">
      <c r="C83" s="86"/>
      <c r="D83" s="124"/>
      <c r="E83" s="138"/>
      <c r="F83" s="138"/>
      <c r="G83" s="269"/>
      <c r="H83" s="269"/>
    </row>
    <row r="84" spans="2:9">
      <c r="C84" s="745" t="str">
        <f>'Costed Impl plan'!D21</f>
        <v>Number of needles and syringes distributed</v>
      </c>
      <c r="D84" s="746"/>
      <c r="E84" s="746"/>
      <c r="F84" s="746"/>
      <c r="G84" s="746"/>
      <c r="H84" s="405"/>
      <c r="I84" s="379" t="s">
        <v>651</v>
      </c>
    </row>
    <row r="85" spans="2:9">
      <c r="C85" s="737"/>
      <c r="D85" s="738"/>
      <c r="E85" s="738"/>
      <c r="F85" s="738"/>
      <c r="G85" s="98" t="s">
        <v>384</v>
      </c>
      <c r="H85" s="98" t="s">
        <v>931</v>
      </c>
      <c r="I85" s="376"/>
    </row>
    <row r="86" spans="2:9">
      <c r="C86" s="77" t="s">
        <v>909</v>
      </c>
      <c r="D86" s="82"/>
      <c r="E86" s="74"/>
      <c r="F86" s="74"/>
      <c r="G86" s="297">
        <f>0.07</f>
        <v>7.0000000000000007E-2</v>
      </c>
      <c r="H86" s="297">
        <f>G86*I7</f>
        <v>5.9150000000000009</v>
      </c>
      <c r="I86" s="376"/>
    </row>
    <row r="87" spans="2:9" ht="15.75" thickBot="1">
      <c r="C87" s="804" t="s">
        <v>1048</v>
      </c>
      <c r="D87" s="805"/>
      <c r="E87" s="805"/>
      <c r="F87" s="805"/>
      <c r="G87" s="805"/>
      <c r="H87" s="805"/>
      <c r="I87" s="806"/>
    </row>
    <row r="88" spans="2:9">
      <c r="C88" s="86"/>
      <c r="D88" s="124"/>
      <c r="E88" s="138"/>
      <c r="F88" s="138"/>
      <c r="G88" s="269"/>
      <c r="H88" s="269"/>
    </row>
    <row r="89" spans="2:9" ht="15.75" thickBot="1">
      <c r="C89" s="86"/>
      <c r="D89" s="124"/>
      <c r="E89" s="138"/>
      <c r="F89" s="138"/>
      <c r="G89" s="269"/>
      <c r="H89" s="269"/>
    </row>
    <row r="90" spans="2:9">
      <c r="C90" s="745" t="str">
        <f>'Costed Impl plan'!D22</f>
        <v>Number of condoms distributed</v>
      </c>
      <c r="D90" s="746"/>
      <c r="E90" s="746"/>
      <c r="F90" s="746"/>
      <c r="G90" s="746"/>
      <c r="H90" s="405"/>
      <c r="I90" s="379" t="s">
        <v>651</v>
      </c>
    </row>
    <row r="91" spans="2:9">
      <c r="C91" s="737"/>
      <c r="D91" s="738"/>
      <c r="E91" s="738"/>
      <c r="F91" s="738"/>
      <c r="G91" s="98" t="s">
        <v>384</v>
      </c>
      <c r="H91" s="98" t="s">
        <v>931</v>
      </c>
      <c r="I91" s="376"/>
    </row>
    <row r="92" spans="2:9">
      <c r="C92" s="77" t="s">
        <v>653</v>
      </c>
      <c r="D92" s="82"/>
      <c r="E92" s="74"/>
      <c r="F92" s="74"/>
      <c r="G92" s="297">
        <v>0.04</v>
      </c>
      <c r="H92" s="297">
        <f>G92*I7</f>
        <v>3.38</v>
      </c>
      <c r="I92" s="376"/>
    </row>
    <row r="93" spans="2:9" ht="15.75" thickBot="1">
      <c r="C93" s="804" t="s">
        <v>1048</v>
      </c>
      <c r="D93" s="805"/>
      <c r="E93" s="805"/>
      <c r="F93" s="805"/>
      <c r="G93" s="805"/>
      <c r="H93" s="805"/>
      <c r="I93" s="806"/>
    </row>
    <row r="94" spans="2:9">
      <c r="C94" s="86"/>
      <c r="D94" s="124"/>
      <c r="E94" s="138"/>
      <c r="F94" s="138"/>
      <c r="G94" s="269"/>
      <c r="H94" s="269"/>
    </row>
    <row r="95" spans="2:9" ht="15.75" thickBot="1">
      <c r="C95" s="86"/>
      <c r="D95" s="124"/>
      <c r="E95" s="138"/>
      <c r="F95" s="138"/>
      <c r="G95" s="269"/>
      <c r="H95" s="269"/>
    </row>
    <row r="96" spans="2:9" ht="25.5" customHeight="1">
      <c r="B96" s="79" t="s">
        <v>5</v>
      </c>
      <c r="C96" s="747" t="str">
        <f>'Costed Impl plan'!C24</f>
        <v>Provide HTC services for key populations</v>
      </c>
      <c r="D96" s="748"/>
      <c r="E96" s="748"/>
      <c r="F96" s="748"/>
      <c r="G96" s="748"/>
      <c r="H96" s="426"/>
      <c r="I96" s="427"/>
    </row>
    <row r="97" spans="3:9">
      <c r="C97" s="749" t="str">
        <f>'Costed Impl plan'!D24</f>
        <v>FSW</v>
      </c>
      <c r="D97" s="750"/>
      <c r="E97" s="750"/>
      <c r="F97" s="750"/>
      <c r="G97" s="750"/>
      <c r="H97" s="428"/>
      <c r="I97" s="378" t="s">
        <v>651</v>
      </c>
    </row>
    <row r="98" spans="3:9" ht="15.75" thickBot="1">
      <c r="C98" s="429" t="s">
        <v>654</v>
      </c>
      <c r="D98" s="430"/>
      <c r="E98" s="127"/>
      <c r="F98" s="127"/>
      <c r="G98" s="431">
        <v>4</v>
      </c>
      <c r="H98" s="396">
        <f>G98*I7</f>
        <v>338</v>
      </c>
      <c r="I98" s="432"/>
    </row>
    <row r="99" spans="3:9" ht="15.75" thickBot="1">
      <c r="C99" s="804" t="s">
        <v>1048</v>
      </c>
      <c r="D99" s="805"/>
      <c r="E99" s="805"/>
      <c r="F99" s="805"/>
      <c r="G99" s="805"/>
      <c r="H99" s="805"/>
      <c r="I99" s="806"/>
    </row>
    <row r="100" spans="3:9">
      <c r="C100" s="86"/>
      <c r="D100" s="124"/>
      <c r="E100" s="138"/>
      <c r="F100" s="138"/>
      <c r="G100" s="269"/>
      <c r="H100" s="269"/>
    </row>
    <row r="101" spans="3:9">
      <c r="C101" s="86"/>
      <c r="D101" s="124"/>
      <c r="E101" s="138"/>
      <c r="F101" s="138"/>
      <c r="G101" s="269"/>
      <c r="H101" s="269"/>
    </row>
    <row r="102" spans="3:9" ht="15.75" thickBot="1">
      <c r="C102" s="86"/>
      <c r="D102" s="124"/>
      <c r="E102" s="138"/>
      <c r="F102" s="138"/>
      <c r="G102" s="269"/>
      <c r="H102" s="269"/>
    </row>
    <row r="103" spans="3:9">
      <c r="C103" s="745" t="str">
        <f>'Costed Impl plan'!D25</f>
        <v>MSW</v>
      </c>
      <c r="D103" s="746"/>
      <c r="E103" s="746"/>
      <c r="F103" s="746"/>
      <c r="G103" s="746"/>
      <c r="H103" s="405"/>
      <c r="I103" s="379" t="s">
        <v>651</v>
      </c>
    </row>
    <row r="104" spans="3:9" ht="15" customHeight="1">
      <c r="C104" s="739" t="s">
        <v>655</v>
      </c>
      <c r="D104" s="740"/>
      <c r="E104" s="740"/>
      <c r="F104" s="740"/>
      <c r="G104" s="98" t="s">
        <v>384</v>
      </c>
      <c r="H104" s="98" t="s">
        <v>931</v>
      </c>
      <c r="I104" s="376"/>
    </row>
    <row r="105" spans="3:9">
      <c r="C105" s="77" t="s">
        <v>406</v>
      </c>
      <c r="D105" s="82"/>
      <c r="E105" s="74"/>
      <c r="F105" s="74"/>
      <c r="G105" s="297">
        <f>G98</f>
        <v>4</v>
      </c>
      <c r="H105" s="206">
        <f>G105*I7</f>
        <v>338</v>
      </c>
      <c r="I105" s="376"/>
    </row>
    <row r="106" spans="3:9" ht="15.75" thickBot="1">
      <c r="C106" s="804" t="s">
        <v>1048</v>
      </c>
      <c r="D106" s="805"/>
      <c r="E106" s="805"/>
      <c r="F106" s="805"/>
      <c r="G106" s="805"/>
      <c r="H106" s="805"/>
      <c r="I106" s="806"/>
    </row>
    <row r="107" spans="3:9">
      <c r="C107" s="86"/>
      <c r="D107" s="124"/>
      <c r="E107" s="138"/>
      <c r="F107" s="138"/>
      <c r="G107" s="269"/>
      <c r="H107" s="269"/>
    </row>
    <row r="108" spans="3:9">
      <c r="C108" s="86"/>
      <c r="D108" s="124"/>
      <c r="E108" s="138"/>
      <c r="F108" s="138"/>
      <c r="G108" s="269"/>
      <c r="H108" s="269"/>
    </row>
    <row r="109" spans="3:9" ht="15.75" thickBot="1">
      <c r="C109" s="86"/>
      <c r="D109" s="124"/>
      <c r="E109" s="138"/>
      <c r="F109" s="138"/>
      <c r="G109" s="269"/>
      <c r="H109" s="269"/>
    </row>
    <row r="110" spans="3:9">
      <c r="C110" s="745" t="str">
        <f>'Costed Impl plan'!D26</f>
        <v>Hijra</v>
      </c>
      <c r="D110" s="746"/>
      <c r="E110" s="746"/>
      <c r="F110" s="746"/>
      <c r="G110" s="746"/>
      <c r="H110" s="405"/>
      <c r="I110" s="379" t="s">
        <v>651</v>
      </c>
    </row>
    <row r="111" spans="3:9" ht="15" customHeight="1">
      <c r="C111" s="739" t="s">
        <v>656</v>
      </c>
      <c r="D111" s="740"/>
      <c r="E111" s="740"/>
      <c r="F111" s="740"/>
      <c r="G111" s="98" t="s">
        <v>384</v>
      </c>
      <c r="H111" s="98" t="s">
        <v>931</v>
      </c>
      <c r="I111" s="376"/>
    </row>
    <row r="112" spans="3:9">
      <c r="C112" s="77" t="s">
        <v>406</v>
      </c>
      <c r="D112" s="82"/>
      <c r="E112" s="74"/>
      <c r="F112" s="74"/>
      <c r="G112" s="297">
        <f>G105</f>
        <v>4</v>
      </c>
      <c r="H112" s="206">
        <f>G112*I7</f>
        <v>338</v>
      </c>
      <c r="I112" s="376"/>
    </row>
    <row r="113" spans="3:9" ht="15" customHeight="1" thickBot="1">
      <c r="C113" s="804" t="s">
        <v>1048</v>
      </c>
      <c r="D113" s="805"/>
      <c r="E113" s="805"/>
      <c r="F113" s="805"/>
      <c r="G113" s="805"/>
      <c r="H113" s="805"/>
      <c r="I113" s="806"/>
    </row>
    <row r="114" spans="3:9">
      <c r="C114" s="86"/>
      <c r="D114" s="124"/>
      <c r="E114" s="138"/>
      <c r="F114" s="138"/>
      <c r="G114" s="269"/>
      <c r="H114" s="269"/>
    </row>
    <row r="115" spans="3:9">
      <c r="C115" s="86"/>
      <c r="D115" s="124"/>
      <c r="E115" s="138"/>
      <c r="F115" s="138"/>
      <c r="G115" s="269"/>
      <c r="H115" s="269"/>
    </row>
    <row r="116" spans="3:9" ht="15.75" thickBot="1">
      <c r="C116" s="86"/>
      <c r="D116" s="124"/>
      <c r="E116" s="138"/>
      <c r="F116" s="138"/>
      <c r="G116" s="269"/>
      <c r="H116" s="269"/>
    </row>
    <row r="117" spans="3:9">
      <c r="C117" s="745" t="str">
        <f>'Costed Impl plan'!D27</f>
        <v>MSM</v>
      </c>
      <c r="D117" s="746"/>
      <c r="E117" s="746"/>
      <c r="F117" s="746"/>
      <c r="G117" s="746"/>
      <c r="H117" s="405"/>
      <c r="I117" s="379" t="s">
        <v>651</v>
      </c>
    </row>
    <row r="118" spans="3:9" ht="15" customHeight="1">
      <c r="C118" s="739" t="s">
        <v>657</v>
      </c>
      <c r="D118" s="740"/>
      <c r="E118" s="740"/>
      <c r="F118" s="740"/>
      <c r="G118" s="98" t="s">
        <v>384</v>
      </c>
      <c r="H118" s="98" t="s">
        <v>931</v>
      </c>
      <c r="I118" s="376"/>
    </row>
    <row r="119" spans="3:9">
      <c r="C119" s="77" t="s">
        <v>406</v>
      </c>
      <c r="D119" s="82"/>
      <c r="E119" s="74"/>
      <c r="F119" s="74"/>
      <c r="G119" s="297">
        <f>G112</f>
        <v>4</v>
      </c>
      <c r="H119" s="206">
        <f>G119*I7</f>
        <v>338</v>
      </c>
      <c r="I119" s="376"/>
    </row>
    <row r="120" spans="3:9" ht="15.75" thickBot="1">
      <c r="C120" s="804" t="s">
        <v>1048</v>
      </c>
      <c r="D120" s="805"/>
      <c r="E120" s="805"/>
      <c r="F120" s="805"/>
      <c r="G120" s="805"/>
      <c r="H120" s="805"/>
      <c r="I120" s="806"/>
    </row>
    <row r="121" spans="3:9">
      <c r="C121" s="86"/>
      <c r="D121" s="124"/>
      <c r="E121" s="138"/>
      <c r="F121" s="138"/>
      <c r="G121" s="269"/>
      <c r="H121" s="269"/>
    </row>
    <row r="122" spans="3:9">
      <c r="C122" s="86"/>
      <c r="D122" s="124"/>
      <c r="E122" s="138"/>
      <c r="F122" s="138"/>
      <c r="G122" s="269"/>
      <c r="H122" s="269"/>
    </row>
    <row r="123" spans="3:9" ht="15.75" thickBot="1">
      <c r="C123" s="86"/>
      <c r="D123" s="124"/>
      <c r="E123" s="138"/>
      <c r="F123" s="138"/>
      <c r="G123" s="269"/>
      <c r="H123" s="269"/>
    </row>
    <row r="124" spans="3:9">
      <c r="C124" s="745" t="str">
        <f>'Costed Impl plan'!D28</f>
        <v>Male PWID</v>
      </c>
      <c r="D124" s="746"/>
      <c r="E124" s="746"/>
      <c r="F124" s="746"/>
      <c r="G124" s="746"/>
      <c r="H124" s="405"/>
      <c r="I124" s="379" t="s">
        <v>651</v>
      </c>
    </row>
    <row r="125" spans="3:9" ht="15" customHeight="1">
      <c r="C125" s="739" t="s">
        <v>658</v>
      </c>
      <c r="D125" s="740"/>
      <c r="E125" s="740"/>
      <c r="F125" s="740"/>
      <c r="G125" s="98" t="s">
        <v>384</v>
      </c>
      <c r="H125" s="98" t="s">
        <v>931</v>
      </c>
      <c r="I125" s="376"/>
    </row>
    <row r="126" spans="3:9">
      <c r="C126" s="77" t="s">
        <v>406</v>
      </c>
      <c r="D126" s="82"/>
      <c r="E126" s="74"/>
      <c r="F126" s="74"/>
      <c r="G126" s="297">
        <f>G119</f>
        <v>4</v>
      </c>
      <c r="H126" s="206">
        <f>G126*I7</f>
        <v>338</v>
      </c>
      <c r="I126" s="376"/>
    </row>
    <row r="127" spans="3:9" ht="15.75" thickBot="1">
      <c r="C127" s="804" t="s">
        <v>1048</v>
      </c>
      <c r="D127" s="805"/>
      <c r="E127" s="805"/>
      <c r="F127" s="805"/>
      <c r="G127" s="805"/>
      <c r="H127" s="805"/>
      <c r="I127" s="806"/>
    </row>
    <row r="128" spans="3:9">
      <c r="C128" s="86"/>
      <c r="D128" s="124"/>
      <c r="E128" s="138"/>
      <c r="F128" s="138"/>
      <c r="G128" s="269"/>
      <c r="H128" s="269"/>
    </row>
    <row r="129" spans="2:9">
      <c r="C129" s="86"/>
      <c r="D129" s="124"/>
      <c r="E129" s="138"/>
      <c r="F129" s="138"/>
      <c r="G129" s="269"/>
      <c r="H129" s="269"/>
    </row>
    <row r="130" spans="2:9" ht="15.75" thickBot="1">
      <c r="C130" s="86"/>
      <c r="D130" s="124"/>
      <c r="E130" s="138"/>
      <c r="F130" s="138"/>
      <c r="G130" s="269"/>
      <c r="H130" s="269"/>
    </row>
    <row r="131" spans="2:9">
      <c r="C131" s="745" t="str">
        <f>'Costed Impl plan'!D29</f>
        <v>Female PWID</v>
      </c>
      <c r="D131" s="746"/>
      <c r="E131" s="746"/>
      <c r="F131" s="746"/>
      <c r="G131" s="746"/>
      <c r="H131" s="405"/>
      <c r="I131" s="379" t="s">
        <v>651</v>
      </c>
    </row>
    <row r="132" spans="2:9" ht="15" customHeight="1">
      <c r="C132" s="739" t="s">
        <v>659</v>
      </c>
      <c r="D132" s="740"/>
      <c r="E132" s="740"/>
      <c r="F132" s="740"/>
      <c r="G132" s="98" t="s">
        <v>384</v>
      </c>
      <c r="H132" s="98" t="s">
        <v>931</v>
      </c>
      <c r="I132" s="376"/>
    </row>
    <row r="133" spans="2:9">
      <c r="C133" s="77" t="s">
        <v>406</v>
      </c>
      <c r="D133" s="82"/>
      <c r="E133" s="74"/>
      <c r="F133" s="74"/>
      <c r="G133" s="297">
        <f>G126</f>
        <v>4</v>
      </c>
      <c r="H133" s="206">
        <f>G133*I7</f>
        <v>338</v>
      </c>
      <c r="I133" s="376"/>
    </row>
    <row r="134" spans="2:9" ht="15.75" thickBot="1">
      <c r="C134" s="804" t="s">
        <v>1048</v>
      </c>
      <c r="D134" s="805"/>
      <c r="E134" s="805"/>
      <c r="F134" s="805"/>
      <c r="G134" s="805"/>
      <c r="H134" s="805"/>
      <c r="I134" s="806"/>
    </row>
    <row r="135" spans="2:9">
      <c r="C135" s="86"/>
      <c r="D135" s="124"/>
      <c r="E135" s="138"/>
      <c r="F135" s="138"/>
      <c r="G135" s="269"/>
      <c r="H135" s="269"/>
    </row>
    <row r="136" spans="2:9" ht="15.75" thickBot="1">
      <c r="C136" s="86"/>
      <c r="D136" s="124"/>
      <c r="E136" s="138"/>
      <c r="F136" s="138"/>
      <c r="G136" s="269"/>
      <c r="H136" s="269"/>
    </row>
    <row r="137" spans="2:9" ht="18" customHeight="1">
      <c r="B137" s="79" t="s">
        <v>6</v>
      </c>
      <c r="C137" s="754" t="str">
        <f>'Costed Impl plan'!C31:C31</f>
        <v>Provide OST services for people who inject drugs</v>
      </c>
      <c r="D137" s="755"/>
      <c r="E137" s="755"/>
      <c r="F137" s="755"/>
      <c r="G137" s="755"/>
      <c r="H137" s="433"/>
      <c r="I137" s="379" t="s">
        <v>651</v>
      </c>
    </row>
    <row r="138" spans="2:9" ht="30.75" customHeight="1">
      <c r="C138" s="739" t="s">
        <v>660</v>
      </c>
      <c r="D138" s="740"/>
      <c r="E138" s="740"/>
      <c r="F138" s="740"/>
      <c r="G138" s="98" t="s">
        <v>384</v>
      </c>
      <c r="H138" s="98" t="s">
        <v>931</v>
      </c>
      <c r="I138" s="376"/>
    </row>
    <row r="139" spans="2:9">
      <c r="C139" s="77" t="s">
        <v>417</v>
      </c>
      <c r="D139" s="82"/>
      <c r="E139" s="74"/>
      <c r="F139" s="74"/>
      <c r="G139" s="164"/>
      <c r="H139" s="164"/>
      <c r="I139" s="376"/>
    </row>
    <row r="140" spans="2:9">
      <c r="C140" s="72" t="s">
        <v>385</v>
      </c>
      <c r="D140" s="74"/>
      <c r="E140" s="74"/>
      <c r="F140" s="74"/>
      <c r="G140" s="164"/>
      <c r="H140" s="164"/>
      <c r="I140" s="376"/>
    </row>
    <row r="141" spans="2:9">
      <c r="C141" s="72" t="s">
        <v>1005</v>
      </c>
      <c r="D141" s="74"/>
      <c r="E141" s="74"/>
      <c r="F141" s="74"/>
      <c r="G141" s="164"/>
      <c r="H141" s="164"/>
      <c r="I141" s="376"/>
    </row>
    <row r="142" spans="2:9">
      <c r="C142" s="72" t="s">
        <v>387</v>
      </c>
      <c r="D142" s="74"/>
      <c r="E142" s="74"/>
      <c r="F142" s="74"/>
      <c r="G142" s="164"/>
      <c r="H142" s="164"/>
      <c r="I142" s="376"/>
    </row>
    <row r="143" spans="2:9">
      <c r="C143" s="72" t="s">
        <v>1006</v>
      </c>
      <c r="D143" s="74"/>
      <c r="E143" s="74"/>
      <c r="F143" s="74"/>
      <c r="G143" s="164"/>
      <c r="H143" s="164"/>
      <c r="I143" s="376"/>
    </row>
    <row r="144" spans="2:9">
      <c r="C144" s="72" t="s">
        <v>421</v>
      </c>
      <c r="D144" s="74"/>
      <c r="E144" s="74"/>
      <c r="F144" s="74"/>
      <c r="G144" s="164"/>
      <c r="H144" s="164"/>
      <c r="I144" s="376"/>
    </row>
    <row r="145" spans="2:9">
      <c r="C145" s="72" t="s">
        <v>1007</v>
      </c>
      <c r="D145" s="74"/>
      <c r="E145" s="74"/>
      <c r="F145" s="74"/>
      <c r="G145" s="164"/>
      <c r="H145" s="164"/>
      <c r="I145" s="376"/>
    </row>
    <row r="146" spans="2:9">
      <c r="C146" s="72" t="s">
        <v>1008</v>
      </c>
      <c r="D146" s="74"/>
      <c r="E146" s="74"/>
      <c r="F146" s="74"/>
      <c r="G146" s="164"/>
      <c r="H146" s="164"/>
      <c r="I146" s="376"/>
    </row>
    <row r="147" spans="2:9">
      <c r="C147" s="72" t="s">
        <v>1009</v>
      </c>
      <c r="D147" s="74"/>
      <c r="E147" s="74"/>
      <c r="F147" s="74"/>
      <c r="G147" s="164"/>
      <c r="H147" s="164"/>
      <c r="I147" s="376"/>
    </row>
    <row r="148" spans="2:9">
      <c r="C148" s="72" t="s">
        <v>240</v>
      </c>
      <c r="D148" s="74"/>
      <c r="E148" s="74"/>
      <c r="F148" s="74"/>
      <c r="G148" s="164"/>
      <c r="H148" s="164"/>
      <c r="I148" s="376"/>
    </row>
    <row r="149" spans="2:9">
      <c r="C149" s="72" t="s">
        <v>423</v>
      </c>
      <c r="D149" s="74"/>
      <c r="E149" s="74"/>
      <c r="F149" s="74"/>
      <c r="G149" s="164"/>
      <c r="H149" s="164"/>
      <c r="I149" s="376"/>
    </row>
    <row r="150" spans="2:9">
      <c r="C150" s="72" t="s">
        <v>431</v>
      </c>
      <c r="D150" s="74"/>
      <c r="E150" s="74"/>
      <c r="F150" s="74"/>
      <c r="G150" s="164"/>
      <c r="H150" s="164"/>
      <c r="I150" s="376"/>
    </row>
    <row r="151" spans="2:9">
      <c r="C151" s="72" t="s">
        <v>404</v>
      </c>
      <c r="D151" s="74"/>
      <c r="E151" s="74"/>
      <c r="F151" s="74"/>
      <c r="G151" s="164"/>
      <c r="H151" s="164"/>
      <c r="I151" s="376"/>
    </row>
    <row r="152" spans="2:9">
      <c r="C152" s="72" t="s">
        <v>1010</v>
      </c>
      <c r="D152" s="74"/>
      <c r="E152" s="74"/>
      <c r="F152" s="74"/>
      <c r="G152" s="164"/>
      <c r="H152" s="164"/>
      <c r="I152" s="376"/>
    </row>
    <row r="153" spans="2:9">
      <c r="C153" s="77" t="s">
        <v>406</v>
      </c>
      <c r="D153" s="82"/>
      <c r="E153" s="74"/>
      <c r="F153" s="74"/>
      <c r="G153" s="267">
        <f>400*0.8</f>
        <v>320</v>
      </c>
      <c r="H153" s="267">
        <f>G153*I7</f>
        <v>27040</v>
      </c>
      <c r="I153" s="376"/>
    </row>
    <row r="154" spans="2:9" ht="23.25" customHeight="1" thickBot="1">
      <c r="C154" s="804"/>
      <c r="D154" s="805"/>
      <c r="E154" s="805"/>
      <c r="F154" s="805"/>
      <c r="G154" s="805"/>
      <c r="H154" s="805"/>
      <c r="I154" s="806"/>
    </row>
    <row r="155" spans="2:9">
      <c r="C155" s="86"/>
      <c r="D155" s="124"/>
      <c r="E155" s="138"/>
      <c r="F155" s="138"/>
      <c r="G155" s="269"/>
      <c r="H155" s="269"/>
    </row>
    <row r="156" spans="2:9" s="79" customFormat="1"/>
    <row r="157" spans="2:9" s="79" customFormat="1" ht="15.75" thickBot="1"/>
    <row r="158" spans="2:9" s="79" customFormat="1">
      <c r="B158" s="79" t="s">
        <v>997</v>
      </c>
      <c r="C158" s="745" t="str">
        <f>'Costed Impl plan'!C34:C34</f>
        <v>Pilot Pre-exposure prophylaxis (PrEP) among KPs</v>
      </c>
      <c r="D158" s="746"/>
      <c r="E158" s="746"/>
      <c r="F158" s="746"/>
      <c r="G158" s="746"/>
      <c r="H158" s="486"/>
      <c r="I158" s="379" t="s">
        <v>651</v>
      </c>
    </row>
    <row r="159" spans="2:9" s="79" customFormat="1">
      <c r="C159" s="739"/>
      <c r="D159" s="740"/>
      <c r="E159" s="740"/>
      <c r="F159" s="740"/>
      <c r="G159" s="98" t="s">
        <v>384</v>
      </c>
      <c r="H159" s="98" t="s">
        <v>931</v>
      </c>
      <c r="I159" s="376"/>
    </row>
    <row r="160" spans="2:9" s="79" customFormat="1">
      <c r="C160" s="77" t="s">
        <v>406</v>
      </c>
      <c r="D160" s="82"/>
      <c r="E160" s="74"/>
      <c r="F160" s="74"/>
      <c r="G160" s="352">
        <v>650</v>
      </c>
      <c r="H160" s="206">
        <f>G160*I7</f>
        <v>54925</v>
      </c>
      <c r="I160" s="376"/>
    </row>
    <row r="161" spans="2:9" s="79" customFormat="1" ht="15.75" thickBot="1">
      <c r="C161" s="804"/>
      <c r="D161" s="805"/>
      <c r="E161" s="805"/>
      <c r="F161" s="805"/>
      <c r="G161" s="805"/>
      <c r="H161" s="805"/>
      <c r="I161" s="806"/>
    </row>
    <row r="162" spans="2:9" s="79" customFormat="1"/>
    <row r="163" spans="2:9" s="79" customFormat="1"/>
    <row r="164" spans="2:9" s="79" customFormat="1" ht="15.75" thickBot="1"/>
    <row r="165" spans="2:9" ht="30.75" customHeight="1">
      <c r="B165" s="79" t="str">
        <f>'Costed Impl plan'!B38</f>
        <v>1.2.1.1</v>
      </c>
      <c r="C165" s="811" t="str">
        <f>'Costed Impl plan'!C38</f>
        <v xml:space="preserve">Conduct national situation assessment to find out migration prone districts and related information </v>
      </c>
      <c r="D165" s="812"/>
      <c r="E165" s="812"/>
      <c r="F165" s="812"/>
      <c r="G165" s="812"/>
      <c r="H165" s="486"/>
      <c r="I165" s="379" t="s">
        <v>651</v>
      </c>
    </row>
    <row r="166" spans="2:9" ht="27.75" customHeight="1">
      <c r="C166" s="131" t="s">
        <v>452</v>
      </c>
      <c r="D166" s="113" t="s">
        <v>703</v>
      </c>
      <c r="E166" s="113" t="s">
        <v>453</v>
      </c>
      <c r="F166" s="113" t="s">
        <v>935</v>
      </c>
      <c r="G166" s="270" t="s">
        <v>932</v>
      </c>
      <c r="H166" s="270" t="s">
        <v>933</v>
      </c>
      <c r="I166" s="375" t="s">
        <v>651</v>
      </c>
    </row>
    <row r="167" spans="2:9">
      <c r="C167" s="72" t="s">
        <v>661</v>
      </c>
      <c r="D167" s="74"/>
      <c r="E167" s="74"/>
      <c r="F167" s="74"/>
      <c r="G167" s="164">
        <v>50000</v>
      </c>
      <c r="H167" s="164">
        <f>G167*I7</f>
        <v>4225000</v>
      </c>
      <c r="I167" s="376"/>
    </row>
    <row r="168" spans="2:9">
      <c r="C168" s="72" t="s">
        <v>662</v>
      </c>
      <c r="D168" s="74"/>
      <c r="E168" s="74"/>
      <c r="F168" s="74"/>
      <c r="G168" s="164">
        <v>236.25</v>
      </c>
      <c r="H168" s="296">
        <f>G168*I7</f>
        <v>19963.125</v>
      </c>
      <c r="I168" s="376"/>
    </row>
    <row r="169" spans="2:9">
      <c r="C169" s="72" t="s">
        <v>663</v>
      </c>
      <c r="D169" s="74"/>
      <c r="E169" s="74"/>
      <c r="F169" s="74"/>
      <c r="G169" s="164">
        <v>29875</v>
      </c>
      <c r="H169" s="164">
        <f>G169*I7</f>
        <v>2524437.5</v>
      </c>
      <c r="I169" s="376"/>
    </row>
    <row r="170" spans="2:9">
      <c r="C170" s="72" t="s">
        <v>934</v>
      </c>
      <c r="D170" s="74"/>
      <c r="E170" s="74"/>
      <c r="F170" s="74"/>
      <c r="G170" s="164">
        <v>16875</v>
      </c>
      <c r="H170" s="164">
        <f>G170*I7</f>
        <v>1425937.5</v>
      </c>
      <c r="I170" s="376"/>
    </row>
    <row r="171" spans="2:9">
      <c r="C171" s="72" t="s">
        <v>664</v>
      </c>
      <c r="D171" s="74"/>
      <c r="E171" s="74"/>
      <c r="F171" s="74"/>
      <c r="G171" s="164">
        <v>10000</v>
      </c>
      <c r="H171" s="164">
        <f>G171*I7</f>
        <v>845000</v>
      </c>
      <c r="I171" s="376"/>
    </row>
    <row r="172" spans="2:9">
      <c r="C172" s="72" t="s">
        <v>665</v>
      </c>
      <c r="D172" s="74"/>
      <c r="E172" s="74"/>
      <c r="F172" s="74"/>
      <c r="G172" s="164">
        <v>2950</v>
      </c>
      <c r="H172" s="164">
        <f>G172*I7</f>
        <v>249275</v>
      </c>
      <c r="I172" s="376"/>
    </row>
    <row r="173" spans="2:9">
      <c r="B173" s="83"/>
      <c r="C173" s="72" t="s">
        <v>867</v>
      </c>
      <c r="D173" s="74"/>
      <c r="E173" s="74"/>
      <c r="F173" s="249"/>
      <c r="G173" s="296">
        <v>20000</v>
      </c>
      <c r="H173" s="164">
        <f>G173*I7</f>
        <v>1690000</v>
      </c>
      <c r="I173" s="376"/>
    </row>
    <row r="174" spans="2:9" s="79" customFormat="1">
      <c r="C174" s="77" t="s">
        <v>870</v>
      </c>
      <c r="D174" s="82"/>
      <c r="E174" s="82"/>
      <c r="F174" s="82"/>
      <c r="G174" s="267">
        <f>SUM(G167:G173)*1.05</f>
        <v>136433.0625</v>
      </c>
      <c r="H174" s="267">
        <f>G174*I7</f>
        <v>11528593.78125</v>
      </c>
      <c r="I174" s="390"/>
    </row>
    <row r="175" spans="2:9" ht="15.75" thickBot="1">
      <c r="C175" s="710" t="s">
        <v>1031</v>
      </c>
      <c r="D175" s="711"/>
      <c r="E175" s="711"/>
      <c r="F175" s="711"/>
      <c r="G175" s="711"/>
      <c r="H175" s="711"/>
      <c r="I175" s="712"/>
    </row>
    <row r="176" spans="2:9">
      <c r="C176" s="86"/>
      <c r="D176" s="124"/>
      <c r="E176" s="138"/>
      <c r="F176" s="138"/>
      <c r="G176" s="269"/>
      <c r="H176" s="269"/>
    </row>
    <row r="177" spans="2:15" ht="15.75" thickBot="1">
      <c r="C177" s="86"/>
      <c r="D177" s="124"/>
      <c r="E177" s="138"/>
      <c r="F177" s="138"/>
      <c r="G177" s="269"/>
      <c r="H177" s="269"/>
    </row>
    <row r="178" spans="2:15">
      <c r="B178" s="79" t="str">
        <f>'Costed Impl plan'!B39</f>
        <v>1.2.1.2</v>
      </c>
      <c r="C178" s="754" t="str">
        <f>'Costed Impl plan'!C39</f>
        <v>BCC material development (leaflets, posters, brochures etc.)</v>
      </c>
      <c r="D178" s="755"/>
      <c r="E178" s="755"/>
      <c r="F178" s="755"/>
      <c r="G178" s="755"/>
      <c r="H178" s="433"/>
      <c r="I178" s="379" t="s">
        <v>651</v>
      </c>
    </row>
    <row r="179" spans="2:15" ht="30">
      <c r="C179" s="131" t="s">
        <v>452</v>
      </c>
      <c r="D179" s="113" t="s">
        <v>703</v>
      </c>
      <c r="E179" s="113" t="s">
        <v>453</v>
      </c>
      <c r="F179" s="113" t="s">
        <v>935</v>
      </c>
      <c r="G179" s="270" t="s">
        <v>932</v>
      </c>
      <c r="H179" s="270" t="s">
        <v>933</v>
      </c>
      <c r="I179" s="375" t="s">
        <v>651</v>
      </c>
    </row>
    <row r="180" spans="2:15">
      <c r="C180" s="72" t="s">
        <v>412</v>
      </c>
      <c r="D180" s="74" t="s">
        <v>849</v>
      </c>
      <c r="E180" s="148">
        <v>1</v>
      </c>
      <c r="F180" s="160">
        <v>0.4375</v>
      </c>
      <c r="G180" s="296">
        <f>E180*F180</f>
        <v>0.4375</v>
      </c>
      <c r="H180" s="296">
        <f>G180*I7</f>
        <v>36.96875</v>
      </c>
      <c r="I180" s="376"/>
    </row>
    <row r="181" spans="2:15">
      <c r="C181" s="72" t="s">
        <v>413</v>
      </c>
      <c r="D181" s="74"/>
      <c r="E181" s="148">
        <v>1</v>
      </c>
      <c r="F181" s="160">
        <v>0.1875</v>
      </c>
      <c r="G181" s="296">
        <f>E181*F181</f>
        <v>0.1875</v>
      </c>
      <c r="H181" s="296">
        <f>G181*I7</f>
        <v>15.84375</v>
      </c>
      <c r="I181" s="376"/>
    </row>
    <row r="182" spans="2:15">
      <c r="C182" s="72" t="s">
        <v>414</v>
      </c>
      <c r="D182" s="74"/>
      <c r="E182" s="148">
        <v>1</v>
      </c>
      <c r="F182" s="160">
        <v>6.25E-2</v>
      </c>
      <c r="G182" s="296">
        <f>E182*F182</f>
        <v>6.25E-2</v>
      </c>
      <c r="H182" s="296">
        <f>G182*I7</f>
        <v>5.28125</v>
      </c>
      <c r="I182" s="376"/>
      <c r="K182" s="88"/>
      <c r="L182" s="88"/>
      <c r="M182" s="88"/>
      <c r="N182" s="88"/>
      <c r="O182" s="88"/>
    </row>
    <row r="183" spans="2:15">
      <c r="C183" s="72" t="s">
        <v>415</v>
      </c>
      <c r="D183" s="74"/>
      <c r="E183" s="148">
        <v>1</v>
      </c>
      <c r="F183" s="160">
        <v>0</v>
      </c>
      <c r="G183" s="296">
        <f>E183*F183</f>
        <v>0</v>
      </c>
      <c r="H183" s="296">
        <f>G183*I7</f>
        <v>0</v>
      </c>
      <c r="I183" s="376"/>
    </row>
    <row r="184" spans="2:15">
      <c r="B184" s="83"/>
      <c r="C184" s="72" t="s">
        <v>867</v>
      </c>
      <c r="D184" s="74"/>
      <c r="E184" s="74"/>
      <c r="F184" s="249"/>
      <c r="G184" s="296">
        <f>SUM(G180:G183)*25%</f>
        <v>0.171875</v>
      </c>
      <c r="H184" s="296">
        <f>G184*I7</f>
        <v>14.5234375</v>
      </c>
      <c r="I184" s="376"/>
    </row>
    <row r="185" spans="2:15" s="79" customFormat="1">
      <c r="C185" s="77" t="s">
        <v>910</v>
      </c>
      <c r="D185" s="82"/>
      <c r="E185" s="149"/>
      <c r="F185" s="241"/>
      <c r="G185" s="294">
        <f>SUM(G180:G184)</f>
        <v>0.859375</v>
      </c>
      <c r="H185" s="267">
        <f>G185*I7</f>
        <v>72.6171875</v>
      </c>
      <c r="I185" s="390"/>
    </row>
    <row r="186" spans="2:15" ht="15.75" thickBot="1">
      <c r="C186" s="730" t="s">
        <v>1031</v>
      </c>
      <c r="D186" s="731"/>
      <c r="E186" s="731"/>
      <c r="F186" s="731"/>
      <c r="G186" s="731"/>
      <c r="H186" s="434"/>
      <c r="I186" s="435"/>
    </row>
    <row r="187" spans="2:15">
      <c r="C187" s="86"/>
      <c r="D187" s="124"/>
      <c r="E187" s="138"/>
      <c r="F187" s="138"/>
      <c r="G187" s="269"/>
      <c r="H187" s="269"/>
    </row>
    <row r="188" spans="2:15">
      <c r="C188" s="86"/>
      <c r="D188" s="124"/>
      <c r="E188" s="138"/>
      <c r="F188" s="138"/>
      <c r="G188" s="269"/>
      <c r="H188" s="269"/>
    </row>
    <row r="189" spans="2:15" ht="15.75" thickBot="1">
      <c r="E189" s="89"/>
    </row>
    <row r="190" spans="2:15">
      <c r="B190" s="79" t="str">
        <f>'Costed Impl plan'!B40</f>
        <v>1.2.1.3</v>
      </c>
      <c r="C190" s="704" t="str">
        <f>'Costed Impl plan'!C40</f>
        <v>Pre-departure orientation of migrants</v>
      </c>
      <c r="D190" s="705"/>
      <c r="E190" s="705"/>
      <c r="F190" s="705"/>
      <c r="G190" s="705"/>
      <c r="H190" s="705"/>
      <c r="I190" s="706"/>
    </row>
    <row r="191" spans="2:15" ht="30">
      <c r="C191" s="131" t="s">
        <v>452</v>
      </c>
      <c r="D191" s="113" t="s">
        <v>703</v>
      </c>
      <c r="E191" s="113" t="s">
        <v>453</v>
      </c>
      <c r="F191" s="113" t="s">
        <v>935</v>
      </c>
      <c r="G191" s="270" t="s">
        <v>932</v>
      </c>
      <c r="H191" s="270" t="s">
        <v>933</v>
      </c>
      <c r="I191" s="375" t="s">
        <v>651</v>
      </c>
    </row>
    <row r="192" spans="2:15">
      <c r="C192" s="204" t="s">
        <v>871</v>
      </c>
      <c r="D192" s="212" t="s">
        <v>788</v>
      </c>
      <c r="E192" s="203">
        <v>25</v>
      </c>
      <c r="F192" s="222">
        <v>3.75</v>
      </c>
      <c r="G192" s="164">
        <v>20</v>
      </c>
      <c r="H192" s="164">
        <f>G192*I7</f>
        <v>1690</v>
      </c>
      <c r="I192" s="781" t="s">
        <v>873</v>
      </c>
    </row>
    <row r="193" spans="2:9">
      <c r="C193" s="204" t="s">
        <v>416</v>
      </c>
      <c r="D193" s="212" t="s">
        <v>788</v>
      </c>
      <c r="E193" s="203">
        <v>25</v>
      </c>
      <c r="F193" s="350">
        <v>5.625</v>
      </c>
      <c r="G193" s="164">
        <v>60</v>
      </c>
      <c r="H193" s="164">
        <f>G193*I7</f>
        <v>5070</v>
      </c>
      <c r="I193" s="781"/>
    </row>
    <row r="194" spans="2:9">
      <c r="C194" s="204" t="s">
        <v>596</v>
      </c>
      <c r="D194" s="212" t="s">
        <v>872</v>
      </c>
      <c r="E194" s="203">
        <v>25</v>
      </c>
      <c r="F194" s="222">
        <v>1.25</v>
      </c>
      <c r="G194" s="164">
        <f>E194*F194</f>
        <v>31.25</v>
      </c>
      <c r="H194" s="164">
        <f>G194*I7</f>
        <v>2640.625</v>
      </c>
      <c r="I194" s="781"/>
    </row>
    <row r="195" spans="2:9">
      <c r="C195" s="204" t="s">
        <v>856</v>
      </c>
      <c r="D195" s="212" t="s">
        <v>788</v>
      </c>
      <c r="E195" s="203">
        <v>25</v>
      </c>
      <c r="F195" s="222">
        <v>1.25</v>
      </c>
      <c r="G195" s="164">
        <f>E195*F195</f>
        <v>31.25</v>
      </c>
      <c r="H195" s="164">
        <f>G195*I7</f>
        <v>2640.625</v>
      </c>
      <c r="I195" s="781"/>
    </row>
    <row r="196" spans="2:9">
      <c r="C196" s="204" t="s">
        <v>468</v>
      </c>
      <c r="D196" s="212" t="s">
        <v>788</v>
      </c>
      <c r="E196" s="203">
        <v>25</v>
      </c>
      <c r="F196" s="350">
        <v>0.625</v>
      </c>
      <c r="G196" s="164">
        <f>E196*F196</f>
        <v>15.625</v>
      </c>
      <c r="H196" s="296">
        <f>G196*I7</f>
        <v>1320.3125</v>
      </c>
      <c r="I196" s="781"/>
    </row>
    <row r="197" spans="2:9">
      <c r="B197" s="83"/>
      <c r="C197" s="72" t="s">
        <v>867</v>
      </c>
      <c r="D197" s="74"/>
      <c r="E197" s="74"/>
      <c r="F197" s="249"/>
      <c r="G197" s="164">
        <f>SUM(G192:G196)*25%</f>
        <v>39.53125</v>
      </c>
      <c r="H197" s="164">
        <f>G197*I7</f>
        <v>3340.390625</v>
      </c>
      <c r="I197" s="436"/>
    </row>
    <row r="198" spans="2:9" s="79" customFormat="1">
      <c r="C198" s="77" t="s">
        <v>911</v>
      </c>
      <c r="D198" s="82"/>
      <c r="E198" s="82"/>
      <c r="F198" s="210"/>
      <c r="G198" s="267">
        <f>SUM(G192:G197)*1.05</f>
        <v>207.5390625</v>
      </c>
      <c r="H198" s="267">
        <f>G198*I7</f>
        <v>17537.05078125</v>
      </c>
      <c r="I198" s="437"/>
    </row>
    <row r="199" spans="2:9" s="79" customFormat="1">
      <c r="C199" s="77" t="s">
        <v>506</v>
      </c>
      <c r="D199" s="82"/>
      <c r="E199" s="211"/>
      <c r="F199" s="82"/>
      <c r="G199" s="267">
        <f>G198/E192</f>
        <v>8.3015624999999993</v>
      </c>
      <c r="H199" s="267">
        <f>G199*I7</f>
        <v>701.48203124999998</v>
      </c>
      <c r="I199" s="390"/>
    </row>
    <row r="200" spans="2:9" ht="15.75" customHeight="1" thickBot="1">
      <c r="C200" s="710" t="s">
        <v>1031</v>
      </c>
      <c r="D200" s="711"/>
      <c r="E200" s="711"/>
      <c r="F200" s="711"/>
      <c r="G200" s="711"/>
      <c r="H200" s="711"/>
      <c r="I200" s="712"/>
    </row>
    <row r="201" spans="2:9">
      <c r="E201" s="89"/>
    </row>
    <row r="202" spans="2:9" ht="15.75" thickBot="1">
      <c r="E202" s="89"/>
    </row>
    <row r="203" spans="2:9">
      <c r="B203" s="79" t="str">
        <f>'Costed Impl plan'!B41</f>
        <v>1.2.1.4</v>
      </c>
      <c r="C203" s="764" t="str">
        <f>'Costed Impl plan'!C41</f>
        <v>Pilot community based interventions for migrants and their families</v>
      </c>
      <c r="D203" s="765"/>
      <c r="E203" s="765"/>
      <c r="F203" s="765"/>
      <c r="G203" s="765"/>
      <c r="H203" s="765"/>
      <c r="I203" s="767"/>
    </row>
    <row r="204" spans="2:9" ht="30">
      <c r="C204" s="131" t="s">
        <v>452</v>
      </c>
      <c r="D204" s="113" t="s">
        <v>703</v>
      </c>
      <c r="E204" s="113" t="s">
        <v>453</v>
      </c>
      <c r="F204" s="113" t="s">
        <v>935</v>
      </c>
      <c r="G204" s="270" t="s">
        <v>932</v>
      </c>
      <c r="H204" s="270" t="s">
        <v>933</v>
      </c>
      <c r="I204" s="375" t="s">
        <v>651</v>
      </c>
    </row>
    <row r="205" spans="2:9">
      <c r="C205" s="72" t="s">
        <v>417</v>
      </c>
      <c r="D205" s="74"/>
      <c r="E205" s="74"/>
      <c r="F205" s="74"/>
      <c r="G205" s="164"/>
      <c r="H205" s="164"/>
      <c r="I205" s="376"/>
    </row>
    <row r="206" spans="2:9">
      <c r="C206" s="150" t="s">
        <v>418</v>
      </c>
      <c r="D206" s="74"/>
      <c r="E206" s="74"/>
      <c r="F206" s="74"/>
      <c r="G206" s="164"/>
      <c r="H206" s="164"/>
      <c r="I206" s="376"/>
    </row>
    <row r="207" spans="2:9">
      <c r="C207" s="150" t="s">
        <v>387</v>
      </c>
      <c r="D207" s="74"/>
      <c r="E207" s="74"/>
      <c r="F207" s="74"/>
      <c r="G207" s="164"/>
      <c r="H207" s="164"/>
      <c r="I207" s="376"/>
    </row>
    <row r="208" spans="2:9">
      <c r="C208" s="150" t="s">
        <v>389</v>
      </c>
      <c r="D208" s="74"/>
      <c r="E208" s="74"/>
      <c r="F208" s="74"/>
      <c r="G208" s="164"/>
      <c r="H208" s="164"/>
      <c r="I208" s="376"/>
    </row>
    <row r="209" spans="2:9">
      <c r="C209" s="150" t="s">
        <v>391</v>
      </c>
      <c r="D209" s="74"/>
      <c r="E209" s="74"/>
      <c r="F209" s="74"/>
      <c r="G209" s="164"/>
      <c r="H209" s="164"/>
      <c r="I209" s="376"/>
    </row>
    <row r="210" spans="2:9">
      <c r="C210" s="150" t="s">
        <v>419</v>
      </c>
      <c r="D210" s="74"/>
      <c r="E210" s="74"/>
      <c r="F210" s="74"/>
      <c r="G210" s="164"/>
      <c r="H210" s="164"/>
      <c r="I210" s="376"/>
    </row>
    <row r="211" spans="2:9">
      <c r="C211" s="150" t="s">
        <v>420</v>
      </c>
      <c r="D211" s="74"/>
      <c r="E211" s="74"/>
      <c r="F211" s="74"/>
      <c r="G211" s="164"/>
      <c r="H211" s="164"/>
      <c r="I211" s="376"/>
    </row>
    <row r="212" spans="2:9">
      <c r="C212" s="150" t="s">
        <v>421</v>
      </c>
      <c r="D212" s="74"/>
      <c r="E212" s="74"/>
      <c r="F212" s="74"/>
      <c r="G212" s="164"/>
      <c r="H212" s="164"/>
      <c r="I212" s="376"/>
    </row>
    <row r="213" spans="2:9">
      <c r="C213" s="150" t="s">
        <v>422</v>
      </c>
      <c r="D213" s="74"/>
      <c r="E213" s="74"/>
      <c r="F213" s="74"/>
      <c r="G213" s="164"/>
      <c r="H213" s="164"/>
      <c r="I213" s="376"/>
    </row>
    <row r="214" spans="2:9">
      <c r="C214" s="150" t="s">
        <v>240</v>
      </c>
      <c r="D214" s="74"/>
      <c r="E214" s="74"/>
      <c r="F214" s="74"/>
      <c r="G214" s="164"/>
      <c r="H214" s="164"/>
      <c r="I214" s="376"/>
    </row>
    <row r="215" spans="2:9">
      <c r="C215" s="150" t="s">
        <v>423</v>
      </c>
      <c r="D215" s="74"/>
      <c r="E215" s="74"/>
      <c r="F215" s="74"/>
      <c r="G215" s="164"/>
      <c r="H215" s="164"/>
      <c r="I215" s="376"/>
    </row>
    <row r="216" spans="2:9">
      <c r="C216" s="150" t="s">
        <v>405</v>
      </c>
      <c r="D216" s="74"/>
      <c r="E216" s="74"/>
      <c r="F216" s="74"/>
      <c r="G216" s="164"/>
      <c r="H216" s="164"/>
      <c r="I216" s="376"/>
    </row>
    <row r="217" spans="2:9">
      <c r="C217" s="150" t="s">
        <v>869</v>
      </c>
      <c r="D217" s="74"/>
      <c r="E217" s="74"/>
      <c r="F217" s="74"/>
      <c r="G217" s="164"/>
      <c r="H217" s="164"/>
      <c r="I217" s="376"/>
    </row>
    <row r="218" spans="2:9">
      <c r="C218" s="77" t="s">
        <v>424</v>
      </c>
      <c r="D218" s="82"/>
      <c r="E218" s="74"/>
      <c r="F218" s="74"/>
      <c r="G218" s="267">
        <v>25</v>
      </c>
      <c r="H218" s="267">
        <f>G218*I7</f>
        <v>2112.5</v>
      </c>
      <c r="I218" s="388"/>
    </row>
    <row r="219" spans="2:9" ht="15.75" thickBot="1">
      <c r="C219" s="710" t="s">
        <v>1031</v>
      </c>
      <c r="D219" s="711"/>
      <c r="E219" s="711"/>
      <c r="F219" s="711"/>
      <c r="G219" s="711"/>
      <c r="H219" s="711"/>
      <c r="I219" s="712"/>
    </row>
    <row r="222" spans="2:9" ht="15.75" thickBot="1"/>
    <row r="223" spans="2:9" s="171" customFormat="1" ht="24.75" customHeight="1">
      <c r="B223" s="170" t="str">
        <f>'Costed Impl plan'!B43</f>
        <v>1.2.2.1</v>
      </c>
      <c r="C223" s="774" t="str">
        <f>'Costed Impl plan'!C43</f>
        <v>Conduct national vulnerability mapping study</v>
      </c>
      <c r="D223" s="775"/>
      <c r="E223" s="775"/>
      <c r="F223" s="775"/>
      <c r="G223" s="775"/>
      <c r="H223" s="775"/>
      <c r="I223" s="776"/>
    </row>
    <row r="224" spans="2:9" s="171" customFormat="1" ht="31.5" customHeight="1">
      <c r="B224" s="170"/>
      <c r="C224" s="414" t="s">
        <v>452</v>
      </c>
      <c r="D224" s="190" t="s">
        <v>703</v>
      </c>
      <c r="E224" s="190" t="s">
        <v>453</v>
      </c>
      <c r="F224" s="190" t="s">
        <v>935</v>
      </c>
      <c r="G224" s="293" t="s">
        <v>932</v>
      </c>
      <c r="H224" s="293" t="s">
        <v>933</v>
      </c>
      <c r="I224" s="419" t="s">
        <v>651</v>
      </c>
    </row>
    <row r="225" spans="2:9" s="171" customFormat="1">
      <c r="B225" s="170"/>
      <c r="C225" s="438" t="s">
        <v>667</v>
      </c>
      <c r="D225" s="152"/>
      <c r="E225" s="152"/>
      <c r="F225" s="152"/>
      <c r="G225" s="279">
        <v>150000</v>
      </c>
      <c r="H225" s="279">
        <f>G225*I7</f>
        <v>12675000</v>
      </c>
      <c r="I225" s="388"/>
    </row>
    <row r="226" spans="2:9" s="171" customFormat="1" ht="45">
      <c r="B226" s="170"/>
      <c r="C226" s="439" t="s">
        <v>832</v>
      </c>
      <c r="D226" s="152"/>
      <c r="E226" s="152"/>
      <c r="F226" s="152"/>
      <c r="G226" s="279">
        <v>20000</v>
      </c>
      <c r="H226" s="279">
        <f>G226*I7</f>
        <v>1690000</v>
      </c>
      <c r="I226" s="440" t="s">
        <v>671</v>
      </c>
    </row>
    <row r="227" spans="2:9" s="171" customFormat="1">
      <c r="B227" s="170"/>
      <c r="C227" s="438" t="s">
        <v>668</v>
      </c>
      <c r="D227" s="152"/>
      <c r="E227" s="152"/>
      <c r="F227" s="152"/>
      <c r="G227" s="279">
        <v>100000</v>
      </c>
      <c r="H227" s="279">
        <f>G227*I7</f>
        <v>8450000</v>
      </c>
      <c r="I227" s="388"/>
    </row>
    <row r="228" spans="2:9" s="171" customFormat="1">
      <c r="B228" s="170"/>
      <c r="C228" s="438" t="s">
        <v>665</v>
      </c>
      <c r="D228" s="152"/>
      <c r="E228" s="152"/>
      <c r="F228" s="152"/>
      <c r="G228" s="279">
        <v>6150</v>
      </c>
      <c r="H228" s="279">
        <f>G228*I7</f>
        <v>519675</v>
      </c>
      <c r="I228" s="388"/>
    </row>
    <row r="229" spans="2:9" s="171" customFormat="1">
      <c r="B229" s="170"/>
      <c r="C229" s="438" t="s">
        <v>669</v>
      </c>
      <c r="D229" s="152"/>
      <c r="E229" s="152"/>
      <c r="F229" s="152"/>
      <c r="G229" s="279">
        <v>5000</v>
      </c>
      <c r="H229" s="279">
        <f>G229*I7</f>
        <v>422500</v>
      </c>
      <c r="I229" s="388"/>
    </row>
    <row r="230" spans="2:9" s="171" customFormat="1">
      <c r="C230" s="438" t="s">
        <v>869</v>
      </c>
      <c r="D230" s="152"/>
      <c r="E230" s="152"/>
      <c r="F230" s="215"/>
      <c r="G230" s="279">
        <v>40000</v>
      </c>
      <c r="H230" s="279">
        <f>G230*I7</f>
        <v>3380000</v>
      </c>
      <c r="I230" s="388"/>
    </row>
    <row r="231" spans="2:9" s="170" customFormat="1">
      <c r="C231" s="91" t="s">
        <v>449</v>
      </c>
      <c r="D231" s="87"/>
      <c r="E231" s="87"/>
      <c r="F231" s="87"/>
      <c r="G231" s="206">
        <f>SUM(G225:G230)</f>
        <v>321150</v>
      </c>
      <c r="H231" s="279">
        <f>G231*I7</f>
        <v>27137175</v>
      </c>
      <c r="I231" s="390"/>
    </row>
    <row r="232" spans="2:9" s="171" customFormat="1" ht="15.75" thickBot="1">
      <c r="B232" s="170"/>
      <c r="C232" s="710" t="s">
        <v>1031</v>
      </c>
      <c r="D232" s="711"/>
      <c r="E232" s="711"/>
      <c r="F232" s="711"/>
      <c r="G232" s="711"/>
      <c r="H232" s="711"/>
      <c r="I232" s="712"/>
    </row>
    <row r="234" spans="2:9" ht="15.75" thickBot="1"/>
    <row r="235" spans="2:9" s="171" customFormat="1" ht="23.25" customHeight="1">
      <c r="B235" s="170" t="str">
        <f>'Costed Impl plan'!B44</f>
        <v>1.2.2.2</v>
      </c>
      <c r="C235" s="774" t="str">
        <f>'Costed Impl plan'!C44</f>
        <v>Conduct study on identifed emerging risk and higher vulnerable population</v>
      </c>
      <c r="D235" s="775"/>
      <c r="E235" s="775"/>
      <c r="F235" s="775"/>
      <c r="G235" s="775"/>
      <c r="H235" s="775"/>
      <c r="I235" s="776"/>
    </row>
    <row r="236" spans="2:9" s="171" customFormat="1" ht="30">
      <c r="B236" s="170"/>
      <c r="C236" s="414" t="s">
        <v>452</v>
      </c>
      <c r="D236" s="190" t="s">
        <v>703</v>
      </c>
      <c r="E236" s="190" t="s">
        <v>453</v>
      </c>
      <c r="F236" s="190" t="s">
        <v>935</v>
      </c>
      <c r="G236" s="293" t="s">
        <v>932</v>
      </c>
      <c r="H236" s="293" t="s">
        <v>933</v>
      </c>
      <c r="I236" s="419" t="s">
        <v>651</v>
      </c>
    </row>
    <row r="237" spans="2:9" s="171" customFormat="1">
      <c r="B237" s="170"/>
      <c r="C237" s="438" t="s">
        <v>667</v>
      </c>
      <c r="D237" s="152"/>
      <c r="E237" s="152"/>
      <c r="F237" s="152"/>
      <c r="G237" s="279">
        <v>0</v>
      </c>
      <c r="H237" s="279">
        <f>G237*I7</f>
        <v>0</v>
      </c>
      <c r="I237" s="388"/>
    </row>
    <row r="238" spans="2:9" s="171" customFormat="1" ht="45">
      <c r="B238" s="170"/>
      <c r="C238" s="438" t="s">
        <v>670</v>
      </c>
      <c r="D238" s="152"/>
      <c r="E238" s="152"/>
      <c r="F238" s="152"/>
      <c r="G238" s="279">
        <v>0</v>
      </c>
      <c r="H238" s="279">
        <f>G238*I7</f>
        <v>0</v>
      </c>
      <c r="I238" s="440" t="s">
        <v>671</v>
      </c>
    </row>
    <row r="239" spans="2:9" s="171" customFormat="1">
      <c r="B239" s="170"/>
      <c r="C239" s="438" t="s">
        <v>668</v>
      </c>
      <c r="D239" s="152"/>
      <c r="E239" s="152"/>
      <c r="F239" s="152"/>
      <c r="G239" s="279">
        <v>0</v>
      </c>
      <c r="H239" s="279">
        <f>G239*I7</f>
        <v>0</v>
      </c>
      <c r="I239" s="388"/>
    </row>
    <row r="240" spans="2:9" s="171" customFormat="1">
      <c r="B240" s="170"/>
      <c r="C240" s="438" t="s">
        <v>665</v>
      </c>
      <c r="D240" s="152"/>
      <c r="E240" s="152"/>
      <c r="F240" s="152"/>
      <c r="G240" s="279">
        <v>0</v>
      </c>
      <c r="H240" s="279">
        <f>G240*I7</f>
        <v>0</v>
      </c>
      <c r="I240" s="388"/>
    </row>
    <row r="241" spans="2:9" s="171" customFormat="1">
      <c r="B241" s="170"/>
      <c r="C241" s="438" t="s">
        <v>669</v>
      </c>
      <c r="D241" s="152"/>
      <c r="E241" s="152"/>
      <c r="F241" s="152"/>
      <c r="G241" s="279">
        <v>0</v>
      </c>
      <c r="H241" s="279">
        <f>G241*I7</f>
        <v>0</v>
      </c>
      <c r="I241" s="388"/>
    </row>
    <row r="242" spans="2:9" s="171" customFormat="1">
      <c r="C242" s="438" t="s">
        <v>869</v>
      </c>
      <c r="D242" s="152"/>
      <c r="E242" s="152"/>
      <c r="F242" s="215"/>
      <c r="G242" s="279">
        <v>0</v>
      </c>
      <c r="H242" s="279">
        <f>G242*I7</f>
        <v>0</v>
      </c>
      <c r="I242" s="388"/>
    </row>
    <row r="243" spans="2:9" s="171" customFormat="1">
      <c r="B243" s="170"/>
      <c r="C243" s="91" t="s">
        <v>625</v>
      </c>
      <c r="D243" s="87"/>
      <c r="E243" s="152"/>
      <c r="F243" s="152"/>
      <c r="G243" s="206">
        <f>SUM(G237:G242)*1.05</f>
        <v>0</v>
      </c>
      <c r="H243" s="206">
        <f>G243*I7</f>
        <v>0</v>
      </c>
      <c r="I243" s="388"/>
    </row>
    <row r="244" spans="2:9" s="171" customFormat="1" ht="15.75" thickBot="1">
      <c r="B244" s="170"/>
      <c r="C244" s="710" t="s">
        <v>1031</v>
      </c>
      <c r="D244" s="711"/>
      <c r="E244" s="711"/>
      <c r="F244" s="711"/>
      <c r="G244" s="711"/>
      <c r="H244" s="711"/>
      <c r="I244" s="712"/>
    </row>
    <row r="247" spans="2:9" ht="15.75" thickBot="1"/>
    <row r="248" spans="2:9" s="171" customFormat="1" ht="21" customHeight="1">
      <c r="B248" s="170" t="str">
        <f>'Costed Impl plan'!B45</f>
        <v>1.2.2.3</v>
      </c>
      <c r="C248" s="774" t="str">
        <f>'Costed Impl plan'!C45</f>
        <v xml:space="preserve">Interventions for vulnerable populations  </v>
      </c>
      <c r="D248" s="775"/>
      <c r="E248" s="775"/>
      <c r="F248" s="775"/>
      <c r="G248" s="775"/>
      <c r="H248" s="775"/>
      <c r="I248" s="776"/>
    </row>
    <row r="249" spans="2:9" s="171" customFormat="1" ht="15.75" thickBot="1">
      <c r="B249" s="170"/>
      <c r="C249" s="394" t="s">
        <v>450</v>
      </c>
      <c r="D249" s="397"/>
      <c r="E249" s="395"/>
      <c r="F249" s="395"/>
      <c r="G249" s="396">
        <v>100000</v>
      </c>
      <c r="H249" s="396">
        <f>G249*I7</f>
        <v>8450000</v>
      </c>
      <c r="I249" s="392"/>
    </row>
    <row r="250" spans="2:9" s="171" customFormat="1" ht="15.75" thickBot="1">
      <c r="B250" s="170"/>
      <c r="C250" s="710" t="s">
        <v>1031</v>
      </c>
      <c r="D250" s="711"/>
      <c r="E250" s="711"/>
      <c r="F250" s="711"/>
      <c r="G250" s="711"/>
      <c r="H250" s="711"/>
      <c r="I250" s="712"/>
    </row>
    <row r="252" spans="2:9" ht="15.75" thickBot="1"/>
    <row r="253" spans="2:9" s="171" customFormat="1" ht="22.5" customHeight="1">
      <c r="B253" s="170" t="str">
        <f>'Costed Impl plan'!B46</f>
        <v>1.2.2.4</v>
      </c>
      <c r="C253" s="774" t="str">
        <f>'Costed Impl plan'!C46</f>
        <v>Update/ develop of training material on LSE for Vulnerable Young People</v>
      </c>
      <c r="D253" s="775"/>
      <c r="E253" s="775"/>
      <c r="F253" s="775"/>
      <c r="G253" s="775"/>
      <c r="H253" s="775"/>
      <c r="I253" s="776"/>
    </row>
    <row r="254" spans="2:9" s="171" customFormat="1" ht="30">
      <c r="B254" s="170"/>
      <c r="C254" s="383" t="s">
        <v>446</v>
      </c>
      <c r="D254" s="387"/>
      <c r="E254" s="152"/>
      <c r="F254" s="190" t="s">
        <v>935</v>
      </c>
      <c r="G254" s="293" t="s">
        <v>932</v>
      </c>
      <c r="H254" s="293" t="s">
        <v>933</v>
      </c>
      <c r="I254" s="388" t="s">
        <v>960</v>
      </c>
    </row>
    <row r="255" spans="2:9" s="171" customFormat="1">
      <c r="B255" s="170"/>
      <c r="C255" s="91" t="s">
        <v>959</v>
      </c>
      <c r="D255" s="152"/>
      <c r="E255" s="152"/>
      <c r="F255" s="152"/>
      <c r="G255" s="279"/>
      <c r="H255" s="279"/>
      <c r="I255" s="388"/>
    </row>
    <row r="256" spans="2:9" s="171" customFormat="1">
      <c r="B256" s="170"/>
      <c r="C256" s="381" t="s">
        <v>714</v>
      </c>
      <c r="D256" s="152" t="s">
        <v>706</v>
      </c>
      <c r="E256" s="152">
        <v>15</v>
      </c>
      <c r="F256" s="152">
        <f>275</f>
        <v>275</v>
      </c>
      <c r="G256" s="279">
        <v>3000</v>
      </c>
      <c r="H256" s="279">
        <f>G256*I7</f>
        <v>253500</v>
      </c>
      <c r="I256" s="388"/>
    </row>
    <row r="257" spans="2:9" s="171" customFormat="1">
      <c r="B257" s="170"/>
      <c r="C257" s="381" t="s">
        <v>707</v>
      </c>
      <c r="D257" s="152" t="s">
        <v>708</v>
      </c>
      <c r="E257" s="152">
        <v>5</v>
      </c>
      <c r="F257" s="152">
        <f>1500/80</f>
        <v>18.75</v>
      </c>
      <c r="G257" s="279">
        <f>E257*F257</f>
        <v>93.75</v>
      </c>
      <c r="H257" s="389">
        <f>G257*I7</f>
        <v>7921.875</v>
      </c>
      <c r="I257" s="388"/>
    </row>
    <row r="258" spans="2:9" s="170" customFormat="1">
      <c r="C258" s="382" t="s">
        <v>715</v>
      </c>
      <c r="D258" s="87"/>
      <c r="E258" s="87"/>
      <c r="F258" s="87"/>
      <c r="G258" s="206">
        <f>SUM(G256:G257)</f>
        <v>3093.75</v>
      </c>
      <c r="H258" s="389">
        <f>G258*I7</f>
        <v>261421.875</v>
      </c>
      <c r="I258" s="390"/>
    </row>
    <row r="259" spans="2:9" s="170" customFormat="1">
      <c r="C259" s="383" t="s">
        <v>912</v>
      </c>
      <c r="D259" s="391"/>
      <c r="E259" s="87">
        <v>2000</v>
      </c>
      <c r="F259" s="87">
        <v>7.5</v>
      </c>
      <c r="G259" s="206">
        <v>5000</v>
      </c>
      <c r="H259" s="279">
        <f>G259*I7</f>
        <v>422500</v>
      </c>
      <c r="I259" s="390"/>
    </row>
    <row r="260" spans="2:9" s="170" customFormat="1">
      <c r="C260" s="384" t="s">
        <v>867</v>
      </c>
      <c r="D260" s="385"/>
      <c r="E260" s="385"/>
      <c r="F260" s="386"/>
      <c r="G260" s="206">
        <f>SUM(G258:G259)*25%</f>
        <v>2023.4375</v>
      </c>
      <c r="H260" s="279">
        <f>G260*I7</f>
        <v>170980.46875</v>
      </c>
      <c r="I260" s="390"/>
    </row>
    <row r="261" spans="2:9" s="171" customFormat="1">
      <c r="B261" s="170"/>
      <c r="C261" s="91" t="s">
        <v>463</v>
      </c>
      <c r="D261" s="87"/>
      <c r="E261" s="152"/>
      <c r="F261" s="152"/>
      <c r="G261" s="206">
        <f>SUM(G258:G260)</f>
        <v>10117.1875</v>
      </c>
      <c r="H261" s="279">
        <f>G261*I7</f>
        <v>854902.34375</v>
      </c>
      <c r="I261" s="388"/>
    </row>
    <row r="262" spans="2:9" s="171" customFormat="1" ht="15.75" customHeight="1" thickBot="1">
      <c r="B262" s="170"/>
      <c r="C262" s="710" t="s">
        <v>1031</v>
      </c>
      <c r="D262" s="711"/>
      <c r="E262" s="711"/>
      <c r="F262" s="711"/>
      <c r="G262" s="711"/>
      <c r="H262" s="711"/>
      <c r="I262" s="712"/>
    </row>
    <row r="263" spans="2:9" s="171" customFormat="1" ht="15.75" customHeight="1">
      <c r="B263" s="79"/>
      <c r="C263" s="79"/>
      <c r="D263" s="79"/>
      <c r="E263" s="79"/>
      <c r="F263" s="79"/>
      <c r="G263" s="79"/>
      <c r="H263" s="79"/>
      <c r="I263" s="79"/>
    </row>
    <row r="264" spans="2:9" s="171" customFormat="1" ht="15.75" customHeight="1" thickBot="1">
      <c r="B264" s="79"/>
      <c r="C264" s="79"/>
      <c r="D264" s="79"/>
      <c r="E264" s="79"/>
      <c r="F264" s="79"/>
      <c r="G264" s="79"/>
      <c r="H264" s="79"/>
      <c r="I264" s="79"/>
    </row>
    <row r="265" spans="2:9" s="374" customFormat="1" ht="24" customHeight="1">
      <c r="B265" s="393" t="str">
        <f>'Impl plan'!B39</f>
        <v>1.2.2.5</v>
      </c>
      <c r="C265" s="704" t="str">
        <f>'Impl plan'!C39</f>
        <v xml:space="preserve">Training of master trainers and peer educators </v>
      </c>
      <c r="D265" s="705"/>
      <c r="E265" s="705"/>
      <c r="F265" s="705"/>
      <c r="G265" s="705"/>
      <c r="H265" s="705"/>
      <c r="I265" s="706"/>
    </row>
    <row r="266" spans="2:9" ht="27" customHeight="1">
      <c r="C266" s="707" t="s">
        <v>961</v>
      </c>
      <c r="D266" s="708"/>
      <c r="E266" s="708"/>
      <c r="F266" s="708"/>
      <c r="G266" s="708"/>
      <c r="H266" s="708"/>
      <c r="I266" s="709"/>
    </row>
    <row r="267" spans="2:9" ht="31.5" customHeight="1">
      <c r="C267" s="131" t="s">
        <v>452</v>
      </c>
      <c r="D267" s="113" t="s">
        <v>703</v>
      </c>
      <c r="E267" s="113" t="s">
        <v>453</v>
      </c>
      <c r="F267" s="113" t="s">
        <v>935</v>
      </c>
      <c r="G267" s="270" t="s">
        <v>932</v>
      </c>
      <c r="H267" s="270" t="s">
        <v>933</v>
      </c>
      <c r="I267" s="375" t="s">
        <v>651</v>
      </c>
    </row>
    <row r="268" spans="2:9">
      <c r="C268" s="77" t="s">
        <v>950</v>
      </c>
      <c r="D268" s="74"/>
      <c r="E268" s="106"/>
      <c r="F268" s="106"/>
      <c r="G268" s="277"/>
      <c r="H268" s="277"/>
      <c r="I268" s="376"/>
    </row>
    <row r="269" spans="2:9">
      <c r="C269" s="150" t="s">
        <v>740</v>
      </c>
      <c r="D269" s="74" t="s">
        <v>746</v>
      </c>
      <c r="E269" s="74">
        <v>3</v>
      </c>
      <c r="F269" s="160"/>
      <c r="G269" s="164"/>
      <c r="H269" s="164">
        <f>G269*I7</f>
        <v>0</v>
      </c>
      <c r="I269" s="376"/>
    </row>
    <row r="270" spans="2:9">
      <c r="C270" s="150" t="s">
        <v>741</v>
      </c>
      <c r="D270" s="74" t="s">
        <v>747</v>
      </c>
      <c r="E270" s="74">
        <f>15*3</f>
        <v>45</v>
      </c>
      <c r="F270" s="160"/>
      <c r="G270" s="164"/>
      <c r="H270" s="164">
        <f>G270*I7</f>
        <v>0</v>
      </c>
      <c r="I270" s="376"/>
    </row>
    <row r="271" spans="2:9">
      <c r="C271" s="150" t="s">
        <v>742</v>
      </c>
      <c r="D271" s="74" t="s">
        <v>747</v>
      </c>
      <c r="E271" s="74">
        <f>15*3</f>
        <v>45</v>
      </c>
      <c r="F271" s="160"/>
      <c r="G271" s="164"/>
      <c r="H271" s="164">
        <f>G271*I7</f>
        <v>0</v>
      </c>
      <c r="I271" s="376"/>
    </row>
    <row r="272" spans="2:9">
      <c r="C272" s="150" t="s">
        <v>713</v>
      </c>
      <c r="D272" s="74" t="s">
        <v>748</v>
      </c>
      <c r="E272" s="74">
        <v>15</v>
      </c>
      <c r="F272" s="160"/>
      <c r="G272" s="164"/>
      <c r="H272" s="164">
        <f>G272*I7</f>
        <v>0</v>
      </c>
      <c r="I272" s="376"/>
    </row>
    <row r="273" spans="3:10">
      <c r="C273" s="150" t="s">
        <v>949</v>
      </c>
      <c r="D273" s="74" t="s">
        <v>748</v>
      </c>
      <c r="E273" s="74">
        <v>15</v>
      </c>
      <c r="F273" s="160"/>
      <c r="G273" s="164"/>
      <c r="H273" s="164">
        <f>G273*I7</f>
        <v>0</v>
      </c>
      <c r="I273" s="376"/>
    </row>
    <row r="274" spans="3:10">
      <c r="C274" s="150" t="s">
        <v>744</v>
      </c>
      <c r="D274" s="74" t="s">
        <v>748</v>
      </c>
      <c r="E274" s="74">
        <v>15</v>
      </c>
      <c r="F274" s="160"/>
      <c r="G274" s="164"/>
      <c r="H274" s="164">
        <f>G274*I7</f>
        <v>0</v>
      </c>
      <c r="I274" s="376"/>
    </row>
    <row r="275" spans="3:10">
      <c r="C275" s="150" t="s">
        <v>745</v>
      </c>
      <c r="D275" s="74" t="s">
        <v>746</v>
      </c>
      <c r="E275" s="74">
        <v>3</v>
      </c>
      <c r="F275" s="160"/>
      <c r="G275" s="164"/>
      <c r="H275" s="164">
        <f>G275*I7</f>
        <v>0</v>
      </c>
      <c r="I275" s="376"/>
    </row>
    <row r="276" spans="3:10">
      <c r="C276" s="97" t="s">
        <v>1125</v>
      </c>
      <c r="D276" s="74" t="s">
        <v>747</v>
      </c>
      <c r="E276" s="74">
        <v>45</v>
      </c>
      <c r="F276" s="160">
        <f>200/3</f>
        <v>66.666666666666671</v>
      </c>
      <c r="G276" s="164">
        <f>E276*F276</f>
        <v>3000</v>
      </c>
      <c r="H276" s="164">
        <f>G276*I7</f>
        <v>253500</v>
      </c>
      <c r="I276" s="376"/>
    </row>
    <row r="277" spans="3:10" s="79" customFormat="1">
      <c r="C277" s="163" t="s">
        <v>917</v>
      </c>
      <c r="D277" s="82"/>
      <c r="E277" s="82"/>
      <c r="F277" s="82"/>
      <c r="G277" s="267">
        <f>SUM(G269:G276)</f>
        <v>3000</v>
      </c>
      <c r="H277" s="267">
        <f>G277*I7</f>
        <v>253500</v>
      </c>
      <c r="I277" s="376"/>
      <c r="J277" s="373"/>
    </row>
    <row r="278" spans="3:10">
      <c r="C278" s="77" t="s">
        <v>962</v>
      </c>
      <c r="D278" s="74"/>
      <c r="E278" s="106"/>
      <c r="F278" s="106"/>
      <c r="G278" s="277"/>
      <c r="H278" s="277"/>
      <c r="I278" s="376"/>
    </row>
    <row r="279" spans="3:10">
      <c r="C279" s="150" t="s">
        <v>740</v>
      </c>
      <c r="D279" s="74" t="s">
        <v>746</v>
      </c>
      <c r="E279" s="74">
        <v>3</v>
      </c>
      <c r="F279" s="160"/>
      <c r="G279" s="164">
        <f>E279*F279</f>
        <v>0</v>
      </c>
      <c r="H279" s="164">
        <f>G279*I7</f>
        <v>0</v>
      </c>
      <c r="I279" s="376"/>
    </row>
    <row r="280" spans="3:10">
      <c r="C280" s="150" t="s">
        <v>741</v>
      </c>
      <c r="D280" s="74" t="s">
        <v>747</v>
      </c>
      <c r="E280" s="74">
        <f>20*3</f>
        <v>60</v>
      </c>
      <c r="F280" s="160"/>
      <c r="G280" s="164">
        <f t="shared" ref="G280:G286" si="0">E280*F280</f>
        <v>0</v>
      </c>
      <c r="H280" s="164">
        <f>G280*I7</f>
        <v>0</v>
      </c>
      <c r="I280" s="376"/>
    </row>
    <row r="281" spans="3:10">
      <c r="C281" s="150" t="s">
        <v>742</v>
      </c>
      <c r="D281" s="74" t="s">
        <v>747</v>
      </c>
      <c r="E281" s="74">
        <f>20*3</f>
        <v>60</v>
      </c>
      <c r="F281" s="160"/>
      <c r="G281" s="164">
        <f t="shared" si="0"/>
        <v>0</v>
      </c>
      <c r="H281" s="164">
        <f>G281*I7</f>
        <v>0</v>
      </c>
      <c r="I281" s="376"/>
    </row>
    <row r="282" spans="3:10">
      <c r="C282" s="150" t="s">
        <v>713</v>
      </c>
      <c r="D282" s="74" t="s">
        <v>748</v>
      </c>
      <c r="E282" s="74">
        <v>20</v>
      </c>
      <c r="F282" s="160"/>
      <c r="G282" s="164">
        <f t="shared" si="0"/>
        <v>0</v>
      </c>
      <c r="H282" s="164">
        <f>G282*I7</f>
        <v>0</v>
      </c>
      <c r="I282" s="376"/>
    </row>
    <row r="283" spans="3:10">
      <c r="C283" s="150" t="s">
        <v>949</v>
      </c>
      <c r="D283" s="74" t="s">
        <v>748</v>
      </c>
      <c r="E283" s="74">
        <v>20</v>
      </c>
      <c r="F283" s="160"/>
      <c r="G283" s="164">
        <f t="shared" si="0"/>
        <v>0</v>
      </c>
      <c r="H283" s="164">
        <f>G283*I7</f>
        <v>0</v>
      </c>
      <c r="I283" s="376"/>
    </row>
    <row r="284" spans="3:10">
      <c r="C284" s="150" t="s">
        <v>744</v>
      </c>
      <c r="D284" s="74" t="s">
        <v>748</v>
      </c>
      <c r="E284" s="74">
        <v>20</v>
      </c>
      <c r="F284" s="160"/>
      <c r="G284" s="164">
        <f t="shared" si="0"/>
        <v>0</v>
      </c>
      <c r="H284" s="164">
        <f>G284*I7</f>
        <v>0</v>
      </c>
      <c r="I284" s="376"/>
    </row>
    <row r="285" spans="3:10">
      <c r="C285" s="150" t="s">
        <v>745</v>
      </c>
      <c r="D285" s="74" t="s">
        <v>746</v>
      </c>
      <c r="E285" s="74">
        <v>3</v>
      </c>
      <c r="F285" s="160"/>
      <c r="G285" s="164">
        <f t="shared" ref="G285" si="1">E285*F285</f>
        <v>0</v>
      </c>
      <c r="H285" s="164">
        <f>G285*I7</f>
        <v>0</v>
      </c>
      <c r="I285" s="376"/>
    </row>
    <row r="286" spans="3:10">
      <c r="C286" s="97" t="s">
        <v>745</v>
      </c>
      <c r="D286" s="74" t="s">
        <v>747</v>
      </c>
      <c r="E286" s="74">
        <v>60</v>
      </c>
      <c r="F286" s="160">
        <f>200/3</f>
        <v>66.666666666666671</v>
      </c>
      <c r="G286" s="164">
        <f t="shared" si="0"/>
        <v>4000.0000000000005</v>
      </c>
      <c r="H286" s="164">
        <f>G286*I7</f>
        <v>338000.00000000006</v>
      </c>
      <c r="I286" s="376"/>
    </row>
    <row r="287" spans="3:10" s="79" customFormat="1">
      <c r="C287" s="163" t="s">
        <v>917</v>
      </c>
      <c r="D287" s="82"/>
      <c r="E287" s="82"/>
      <c r="F287" s="82"/>
      <c r="G287" s="267">
        <f>SUM(G279:G286)</f>
        <v>4000.0000000000005</v>
      </c>
      <c r="H287" s="267">
        <f>G287*I7</f>
        <v>338000.00000000006</v>
      </c>
      <c r="I287" s="376"/>
      <c r="J287" s="373"/>
    </row>
    <row r="288" spans="3:10" s="79" customFormat="1">
      <c r="C288" s="163" t="s">
        <v>951</v>
      </c>
      <c r="D288" s="82"/>
      <c r="E288" s="82"/>
      <c r="F288" s="82"/>
      <c r="G288" s="267">
        <f>G277+G287</f>
        <v>7000</v>
      </c>
      <c r="H288" s="267">
        <f>G288*I7</f>
        <v>591500</v>
      </c>
      <c r="I288" s="377"/>
      <c r="J288" s="372"/>
    </row>
    <row r="289" spans="2:9" s="79" customFormat="1">
      <c r="C289" s="216" t="s">
        <v>867</v>
      </c>
      <c r="D289" s="82"/>
      <c r="E289" s="82"/>
      <c r="F289" s="82"/>
      <c r="G289" s="267">
        <f>(G288)*25%</f>
        <v>1750</v>
      </c>
      <c r="H289" s="267">
        <f>G289*I7</f>
        <v>147875</v>
      </c>
      <c r="I289" s="377"/>
    </row>
    <row r="290" spans="2:9" s="79" customFormat="1">
      <c r="C290" s="75" t="s">
        <v>963</v>
      </c>
      <c r="D290" s="82"/>
      <c r="E290" s="82"/>
      <c r="F290" s="210"/>
      <c r="G290" s="267">
        <f>(G288+G289)*1.05</f>
        <v>9187.5</v>
      </c>
      <c r="H290" s="267">
        <f>G290*I7</f>
        <v>776343.75</v>
      </c>
      <c r="I290" s="377"/>
    </row>
    <row r="291" spans="2:9" ht="15.75" thickBot="1">
      <c r="C291" s="771" t="s">
        <v>1051</v>
      </c>
      <c r="D291" s="772"/>
      <c r="E291" s="772"/>
      <c r="F291" s="772"/>
      <c r="G291" s="772"/>
      <c r="H291" s="772"/>
      <c r="I291" s="773"/>
    </row>
    <row r="292" spans="2:9">
      <c r="C292" s="398"/>
      <c r="D292" s="399"/>
      <c r="E292" s="399"/>
      <c r="F292" s="399"/>
      <c r="G292" s="400"/>
      <c r="H292" s="400"/>
      <c r="I292" s="398"/>
    </row>
    <row r="293" spans="2:9" ht="15.75" thickBot="1">
      <c r="C293" s="401"/>
      <c r="D293" s="402"/>
      <c r="E293" s="402"/>
      <c r="F293" s="402"/>
      <c r="G293" s="403"/>
      <c r="H293" s="403"/>
      <c r="I293" s="401"/>
    </row>
    <row r="294" spans="2:9" ht="24" customHeight="1">
      <c r="B294" s="170" t="str">
        <f>'Impl plan'!B40</f>
        <v>1.2.2.6</v>
      </c>
      <c r="C294" s="814" t="str">
        <f>'Impl plan'!C40</f>
        <v>Community led LSE session</v>
      </c>
      <c r="D294" s="815"/>
      <c r="E294" s="815"/>
      <c r="F294" s="815"/>
      <c r="G294" s="815"/>
      <c r="H294" s="815"/>
      <c r="I294" s="816"/>
    </row>
    <row r="295" spans="2:9" ht="27" customHeight="1">
      <c r="C295" s="707" t="s">
        <v>964</v>
      </c>
      <c r="D295" s="708"/>
      <c r="E295" s="708"/>
      <c r="F295" s="708"/>
      <c r="G295" s="708"/>
      <c r="H295" s="708"/>
      <c r="I295" s="709"/>
    </row>
    <row r="296" spans="2:9" ht="31.5" customHeight="1">
      <c r="C296" s="131" t="s">
        <v>452</v>
      </c>
      <c r="D296" s="113" t="s">
        <v>703</v>
      </c>
      <c r="E296" s="113" t="s">
        <v>453</v>
      </c>
      <c r="F296" s="113" t="s">
        <v>935</v>
      </c>
      <c r="G296" s="270" t="s">
        <v>932</v>
      </c>
      <c r="H296" s="270" t="s">
        <v>933</v>
      </c>
      <c r="I296" s="375" t="s">
        <v>651</v>
      </c>
    </row>
    <row r="297" spans="2:9">
      <c r="C297" s="77" t="s">
        <v>974</v>
      </c>
      <c r="D297" s="74"/>
      <c r="E297" s="74">
        <f>2000*6</f>
        <v>12000</v>
      </c>
      <c r="F297" s="160">
        <v>1</v>
      </c>
      <c r="G297" s="164">
        <v>10000</v>
      </c>
      <c r="H297" s="164">
        <f>G297*I7</f>
        <v>845000</v>
      </c>
      <c r="I297" s="376"/>
    </row>
    <row r="298" spans="2:9">
      <c r="C298" s="216" t="s">
        <v>867</v>
      </c>
      <c r="D298" s="74"/>
      <c r="E298" s="74"/>
      <c r="F298" s="74"/>
      <c r="G298" s="164">
        <v>1000</v>
      </c>
      <c r="H298" s="164">
        <f>G298*I7</f>
        <v>84500</v>
      </c>
      <c r="I298" s="376"/>
    </row>
    <row r="299" spans="2:9">
      <c r="C299" s="75" t="s">
        <v>887</v>
      </c>
      <c r="D299" s="82"/>
      <c r="E299" s="82"/>
      <c r="F299" s="210"/>
      <c r="G299" s="267">
        <f>G297+G298</f>
        <v>11000</v>
      </c>
      <c r="H299" s="164">
        <f>G299*I7</f>
        <v>929500</v>
      </c>
      <c r="I299" s="377"/>
    </row>
    <row r="300" spans="2:9">
      <c r="C300" s="76" t="s">
        <v>953</v>
      </c>
      <c r="D300" s="94"/>
      <c r="E300" s="132"/>
      <c r="F300" s="132"/>
      <c r="G300" s="273">
        <f>G299+(G299*5%)</f>
        <v>11550</v>
      </c>
      <c r="H300" s="164">
        <f>G300*I7</f>
        <v>975975</v>
      </c>
      <c r="I300" s="376"/>
    </row>
    <row r="301" spans="2:9" ht="15" customHeight="1" thickBot="1">
      <c r="C301" s="710" t="s">
        <v>1031</v>
      </c>
      <c r="D301" s="711"/>
      <c r="E301" s="711"/>
      <c r="F301" s="711"/>
      <c r="G301" s="711"/>
      <c r="H301" s="711"/>
      <c r="I301" s="712"/>
    </row>
    <row r="304" spans="2:9" ht="15.75" thickBot="1"/>
    <row r="305" spans="2:9" ht="21" customHeight="1">
      <c r="B305" s="79" t="str">
        <f>'Costed Impl plan'!B49</f>
        <v xml:space="preserve">1.2.3 </v>
      </c>
      <c r="C305" s="704" t="str">
        <f>'Costed Impl plan'!C49</f>
        <v>Implement basic HIV prevention services for non-injecting drug users</v>
      </c>
      <c r="D305" s="705"/>
      <c r="E305" s="705"/>
      <c r="F305" s="705"/>
      <c r="G305" s="705"/>
      <c r="H305" s="705"/>
      <c r="I305" s="706"/>
    </row>
    <row r="306" spans="2:9" ht="30">
      <c r="C306" s="77" t="s">
        <v>417</v>
      </c>
      <c r="D306" s="82"/>
      <c r="E306" s="82" t="s">
        <v>383</v>
      </c>
      <c r="F306" s="74"/>
      <c r="G306" s="270" t="s">
        <v>932</v>
      </c>
      <c r="H306" s="270" t="s">
        <v>933</v>
      </c>
      <c r="I306" s="376" t="s">
        <v>651</v>
      </c>
    </row>
    <row r="307" spans="2:9">
      <c r="C307" s="72" t="s">
        <v>425</v>
      </c>
      <c r="D307" s="722" t="s">
        <v>426</v>
      </c>
      <c r="E307" s="722"/>
      <c r="F307" s="722"/>
      <c r="G307" s="164"/>
      <c r="H307" s="164"/>
      <c r="I307" s="376"/>
    </row>
    <row r="308" spans="2:9">
      <c r="C308" s="72" t="s">
        <v>421</v>
      </c>
      <c r="D308" s="722" t="s">
        <v>427</v>
      </c>
      <c r="E308" s="722"/>
      <c r="F308" s="722"/>
      <c r="G308" s="164"/>
      <c r="H308" s="164"/>
      <c r="I308" s="376"/>
    </row>
    <row r="309" spans="2:9">
      <c r="C309" s="72" t="s">
        <v>240</v>
      </c>
      <c r="D309" s="722" t="s">
        <v>428</v>
      </c>
      <c r="E309" s="722"/>
      <c r="F309" s="722"/>
      <c r="G309" s="164"/>
      <c r="H309" s="164"/>
      <c r="I309" s="376"/>
    </row>
    <row r="310" spans="2:9">
      <c r="C310" s="72" t="s">
        <v>429</v>
      </c>
      <c r="D310" s="722" t="s">
        <v>430</v>
      </c>
      <c r="E310" s="722"/>
      <c r="F310" s="722"/>
      <c r="G310" s="164"/>
      <c r="H310" s="164"/>
      <c r="I310" s="376"/>
    </row>
    <row r="311" spans="2:9">
      <c r="C311" s="72" t="s">
        <v>431</v>
      </c>
      <c r="D311" s="722" t="s">
        <v>432</v>
      </c>
      <c r="E311" s="722"/>
      <c r="F311" s="722"/>
      <c r="G311" s="164"/>
      <c r="H311" s="164"/>
      <c r="I311" s="376"/>
    </row>
    <row r="312" spans="2:9">
      <c r="C312" s="72" t="s">
        <v>405</v>
      </c>
      <c r="D312" s="722" t="s">
        <v>433</v>
      </c>
      <c r="E312" s="722"/>
      <c r="F312" s="722"/>
      <c r="G312" s="164"/>
      <c r="H312" s="164"/>
      <c r="I312" s="376"/>
    </row>
    <row r="313" spans="2:9">
      <c r="C313" s="72"/>
      <c r="D313" s="74"/>
      <c r="E313" s="74"/>
      <c r="F313" s="74"/>
      <c r="G313" s="164"/>
      <c r="H313" s="164"/>
      <c r="I313" s="376"/>
    </row>
    <row r="314" spans="2:9">
      <c r="C314" s="76" t="s">
        <v>874</v>
      </c>
      <c r="D314" s="94"/>
      <c r="E314" s="132"/>
      <c r="F314" s="132"/>
      <c r="G314" s="273">
        <f>25*1.3</f>
        <v>32.5</v>
      </c>
      <c r="H314" s="273">
        <f>G314*I7</f>
        <v>2746.25</v>
      </c>
      <c r="I314" s="376"/>
    </row>
    <row r="315" spans="2:9" ht="15.75" thickBot="1">
      <c r="C315" s="710" t="s">
        <v>1031</v>
      </c>
      <c r="D315" s="711"/>
      <c r="E315" s="711"/>
      <c r="F315" s="711"/>
      <c r="G315" s="711"/>
      <c r="H315" s="711"/>
      <c r="I315" s="712"/>
    </row>
    <row r="318" spans="2:9" ht="15.75" thickBot="1"/>
    <row r="319" spans="2:9" ht="15" customHeight="1">
      <c r="B319" s="79" t="str">
        <f>'Costed Impl plan'!B50</f>
        <v>1.2.4</v>
      </c>
      <c r="C319" s="704" t="str">
        <f>'Costed Impl plan'!C50</f>
        <v>Implement basic HIV prevention services for clients of sex workers</v>
      </c>
      <c r="D319" s="705"/>
      <c r="E319" s="705"/>
      <c r="F319" s="705"/>
      <c r="G319" s="705"/>
      <c r="H319" s="705"/>
      <c r="I319" s="706"/>
    </row>
    <row r="320" spans="2:9" ht="30">
      <c r="C320" s="131" t="s">
        <v>848</v>
      </c>
      <c r="D320" s="113" t="s">
        <v>703</v>
      </c>
      <c r="E320" s="113" t="s">
        <v>453</v>
      </c>
      <c r="F320" s="113" t="s">
        <v>935</v>
      </c>
      <c r="G320" s="270" t="s">
        <v>932</v>
      </c>
      <c r="H320" s="270" t="s">
        <v>933</v>
      </c>
      <c r="I320" s="375" t="s">
        <v>651</v>
      </c>
    </row>
    <row r="321" spans="2:9">
      <c r="C321" s="72" t="s">
        <v>390</v>
      </c>
      <c r="D321" s="74"/>
      <c r="E321" s="74"/>
      <c r="F321" s="74"/>
      <c r="G321" s="164"/>
      <c r="H321" s="164"/>
      <c r="I321" s="376"/>
    </row>
    <row r="322" spans="2:9">
      <c r="C322" s="72" t="s">
        <v>388</v>
      </c>
      <c r="D322" s="74"/>
      <c r="E322" s="74"/>
      <c r="F322" s="74"/>
      <c r="G322" s="164"/>
      <c r="H322" s="164"/>
      <c r="I322" s="376"/>
    </row>
    <row r="323" spans="2:9">
      <c r="C323" s="72" t="s">
        <v>401</v>
      </c>
      <c r="D323" s="74"/>
      <c r="E323" s="74"/>
      <c r="F323" s="74"/>
      <c r="G323" s="164"/>
      <c r="H323" s="164"/>
      <c r="I323" s="376"/>
    </row>
    <row r="324" spans="2:9">
      <c r="C324" s="72" t="s">
        <v>398</v>
      </c>
      <c r="D324" s="74"/>
      <c r="E324" s="74"/>
      <c r="F324" s="74"/>
      <c r="G324" s="164"/>
      <c r="H324" s="164"/>
      <c r="I324" s="376"/>
    </row>
    <row r="325" spans="2:9">
      <c r="C325" s="72" t="s">
        <v>399</v>
      </c>
      <c r="D325" s="74"/>
      <c r="E325" s="74"/>
      <c r="F325" s="74"/>
      <c r="G325" s="164"/>
      <c r="H325" s="164"/>
      <c r="I325" s="376"/>
    </row>
    <row r="326" spans="2:9">
      <c r="C326" s="72" t="s">
        <v>434</v>
      </c>
      <c r="D326" s="74"/>
      <c r="E326" s="74"/>
      <c r="F326" s="74"/>
      <c r="G326" s="164"/>
      <c r="H326" s="164"/>
      <c r="I326" s="376"/>
    </row>
    <row r="327" spans="2:9">
      <c r="C327" s="76" t="s">
        <v>874</v>
      </c>
      <c r="D327" s="94"/>
      <c r="E327" s="132"/>
      <c r="F327" s="132"/>
      <c r="G327" s="273">
        <v>20</v>
      </c>
      <c r="H327" s="273">
        <f>G327*I7</f>
        <v>1690</v>
      </c>
      <c r="I327" s="376"/>
    </row>
    <row r="328" spans="2:9" ht="15.75" thickBot="1">
      <c r="C328" s="710" t="s">
        <v>1031</v>
      </c>
      <c r="D328" s="711"/>
      <c r="E328" s="711"/>
      <c r="F328" s="711"/>
      <c r="G328" s="711"/>
      <c r="H328" s="711"/>
      <c r="I328" s="712"/>
    </row>
    <row r="329" spans="2:9">
      <c r="I329" s="154"/>
    </row>
    <row r="330" spans="2:9">
      <c r="I330" s="154"/>
    </row>
    <row r="331" spans="2:9" ht="15.75" thickBot="1">
      <c r="I331" s="154"/>
    </row>
    <row r="332" spans="2:9" ht="15" customHeight="1">
      <c r="B332" s="79" t="str">
        <f>'Costed Impl plan'!B51</f>
        <v>1.2.5</v>
      </c>
      <c r="C332" s="704" t="str">
        <f>'Costed Impl plan'!C51</f>
        <v>Continuet interventions for prisoners</v>
      </c>
      <c r="D332" s="705"/>
      <c r="E332" s="705"/>
      <c r="F332" s="705"/>
      <c r="G332" s="705"/>
      <c r="H332" s="705"/>
      <c r="I332" s="706"/>
    </row>
    <row r="333" spans="2:9">
      <c r="C333" s="728" t="s">
        <v>435</v>
      </c>
      <c r="D333" s="729"/>
      <c r="E333" s="729"/>
      <c r="F333" s="729"/>
      <c r="G333" s="729"/>
      <c r="H333" s="221"/>
      <c r="I333" s="378" t="s">
        <v>651</v>
      </c>
    </row>
    <row r="334" spans="2:9" ht="30">
      <c r="C334" s="131" t="s">
        <v>452</v>
      </c>
      <c r="D334" s="113" t="s">
        <v>703</v>
      </c>
      <c r="E334" s="113" t="s">
        <v>453</v>
      </c>
      <c r="F334" s="113" t="s">
        <v>935</v>
      </c>
      <c r="G334" s="270" t="s">
        <v>932</v>
      </c>
      <c r="H334" s="270" t="s">
        <v>933</v>
      </c>
      <c r="I334" s="375" t="s">
        <v>651</v>
      </c>
    </row>
    <row r="335" spans="2:9">
      <c r="C335" s="67" t="s">
        <v>436</v>
      </c>
      <c r="D335" s="112"/>
      <c r="E335" s="74"/>
      <c r="F335" s="74"/>
      <c r="G335" s="164"/>
      <c r="H335" s="164"/>
      <c r="I335" s="425"/>
    </row>
    <row r="336" spans="2:9">
      <c r="C336" s="67" t="s">
        <v>437</v>
      </c>
      <c r="D336" s="112"/>
      <c r="E336" s="74"/>
      <c r="F336" s="74"/>
      <c r="G336" s="164"/>
      <c r="H336" s="164"/>
      <c r="I336" s="425"/>
    </row>
    <row r="337" spans="2:9">
      <c r="C337" s="67" t="s">
        <v>389</v>
      </c>
      <c r="D337" s="112"/>
      <c r="E337" s="74"/>
      <c r="F337" s="74"/>
      <c r="G337" s="164"/>
      <c r="H337" s="164"/>
      <c r="I337" s="425"/>
    </row>
    <row r="338" spans="2:9">
      <c r="C338" s="67" t="s">
        <v>438</v>
      </c>
      <c r="D338" s="112"/>
      <c r="E338" s="74"/>
      <c r="F338" s="74"/>
      <c r="G338" s="164"/>
      <c r="H338" s="164"/>
      <c r="I338" s="425"/>
    </row>
    <row r="339" spans="2:9">
      <c r="C339" s="67" t="s">
        <v>439</v>
      </c>
      <c r="D339" s="112"/>
      <c r="E339" s="74"/>
      <c r="F339" s="74"/>
      <c r="G339" s="164"/>
      <c r="H339" s="164"/>
      <c r="I339" s="425"/>
    </row>
    <row r="340" spans="2:9">
      <c r="C340" s="67" t="s">
        <v>440</v>
      </c>
      <c r="D340" s="112"/>
      <c r="E340" s="74"/>
      <c r="F340" s="74"/>
      <c r="G340" s="164"/>
      <c r="H340" s="164"/>
      <c r="I340" s="425"/>
    </row>
    <row r="341" spans="2:9">
      <c r="C341" s="67" t="s">
        <v>421</v>
      </c>
      <c r="D341" s="112"/>
      <c r="E341" s="74"/>
      <c r="F341" s="74"/>
      <c r="G341" s="164"/>
      <c r="H341" s="164"/>
      <c r="I341" s="425"/>
    </row>
    <row r="342" spans="2:9">
      <c r="C342" s="67" t="s">
        <v>441</v>
      </c>
      <c r="D342" s="112"/>
      <c r="E342" s="74"/>
      <c r="F342" s="74"/>
      <c r="G342" s="164"/>
      <c r="H342" s="164"/>
      <c r="I342" s="425"/>
    </row>
    <row r="343" spans="2:9">
      <c r="C343" s="67" t="s">
        <v>240</v>
      </c>
      <c r="D343" s="112"/>
      <c r="E343" s="74"/>
      <c r="F343" s="74"/>
      <c r="G343" s="164"/>
      <c r="H343" s="164"/>
      <c r="I343" s="425"/>
    </row>
    <row r="344" spans="2:9">
      <c r="C344" s="67" t="s">
        <v>423</v>
      </c>
      <c r="D344" s="112"/>
      <c r="E344" s="74"/>
      <c r="F344" s="74"/>
      <c r="G344" s="164"/>
      <c r="H344" s="164"/>
      <c r="I344" s="425"/>
    </row>
    <row r="345" spans="2:9">
      <c r="C345" s="67" t="s">
        <v>442</v>
      </c>
      <c r="D345" s="112"/>
      <c r="E345" s="74"/>
      <c r="F345" s="74"/>
      <c r="G345" s="164"/>
      <c r="H345" s="164"/>
      <c r="I345" s="425"/>
    </row>
    <row r="346" spans="2:9">
      <c r="C346" s="77" t="s">
        <v>874</v>
      </c>
      <c r="D346" s="82"/>
      <c r="E346" s="74"/>
      <c r="F346" s="74"/>
      <c r="G346" s="294">
        <f>17.57*1.3</f>
        <v>22.841000000000001</v>
      </c>
      <c r="H346" s="267">
        <f>G346*I7</f>
        <v>1930.0645000000002</v>
      </c>
      <c r="I346" s="425"/>
    </row>
    <row r="347" spans="2:9" ht="15.75" thickBot="1">
      <c r="C347" s="710" t="s">
        <v>1031</v>
      </c>
      <c r="D347" s="711"/>
      <c r="E347" s="711"/>
      <c r="F347" s="711"/>
      <c r="G347" s="711"/>
      <c r="H347" s="711"/>
      <c r="I347" s="712"/>
    </row>
    <row r="348" spans="2:9">
      <c r="C348" s="79"/>
      <c r="D348" s="95"/>
      <c r="G348" s="228"/>
      <c r="H348" s="228"/>
      <c r="I348" s="154"/>
    </row>
    <row r="349" spans="2:9" ht="15.75" thickBot="1">
      <c r="I349" s="154"/>
    </row>
    <row r="350" spans="2:9" ht="18" customHeight="1">
      <c r="B350" s="79" t="str">
        <f>'Costed Impl plan'!B52</f>
        <v>1.2.6</v>
      </c>
      <c r="C350" s="808" t="s">
        <v>1011</v>
      </c>
      <c r="D350" s="809"/>
      <c r="E350" s="809"/>
      <c r="F350" s="809"/>
      <c r="G350" s="809"/>
      <c r="H350" s="809"/>
      <c r="I350" s="810"/>
    </row>
    <row r="351" spans="2:9" ht="30">
      <c r="C351" s="131" t="s">
        <v>452</v>
      </c>
      <c r="D351" s="113" t="s">
        <v>703</v>
      </c>
      <c r="E351" s="113" t="s">
        <v>453</v>
      </c>
      <c r="F351" s="113" t="s">
        <v>935</v>
      </c>
      <c r="G351" s="270" t="s">
        <v>932</v>
      </c>
      <c r="H351" s="270" t="s">
        <v>933</v>
      </c>
      <c r="I351" s="375" t="s">
        <v>651</v>
      </c>
    </row>
    <row r="352" spans="2:9">
      <c r="C352" s="67" t="s">
        <v>436</v>
      </c>
      <c r="D352" s="112"/>
      <c r="E352" s="74"/>
      <c r="F352" s="74"/>
      <c r="G352" s="164"/>
      <c r="H352" s="164"/>
      <c r="I352" s="376"/>
    </row>
    <row r="353" spans="2:9">
      <c r="C353" s="67" t="s">
        <v>437</v>
      </c>
      <c r="D353" s="112"/>
      <c r="E353" s="74"/>
      <c r="F353" s="74"/>
      <c r="G353" s="164"/>
      <c r="H353" s="164"/>
      <c r="I353" s="376"/>
    </row>
    <row r="354" spans="2:9">
      <c r="C354" s="67" t="s">
        <v>389</v>
      </c>
      <c r="D354" s="112"/>
      <c r="E354" s="74"/>
      <c r="F354" s="74"/>
      <c r="G354" s="164"/>
      <c r="H354" s="164"/>
      <c r="I354" s="376"/>
    </row>
    <row r="355" spans="2:9">
      <c r="C355" s="67" t="s">
        <v>438</v>
      </c>
      <c r="D355" s="112"/>
      <c r="E355" s="74"/>
      <c r="F355" s="74"/>
      <c r="G355" s="164"/>
      <c r="H355" s="164"/>
      <c r="I355" s="376"/>
    </row>
    <row r="356" spans="2:9">
      <c r="C356" s="67" t="s">
        <v>439</v>
      </c>
      <c r="D356" s="112"/>
      <c r="E356" s="74"/>
      <c r="F356" s="74"/>
      <c r="G356" s="164"/>
      <c r="H356" s="164"/>
      <c r="I356" s="376"/>
    </row>
    <row r="357" spans="2:9">
      <c r="C357" s="67" t="s">
        <v>440</v>
      </c>
      <c r="D357" s="112"/>
      <c r="E357" s="74"/>
      <c r="F357" s="74"/>
      <c r="G357" s="164"/>
      <c r="H357" s="164"/>
      <c r="I357" s="376"/>
    </row>
    <row r="358" spans="2:9">
      <c r="C358" s="67" t="s">
        <v>421</v>
      </c>
      <c r="D358" s="112"/>
      <c r="E358" s="74"/>
      <c r="F358" s="74"/>
      <c r="G358" s="164"/>
      <c r="H358" s="164"/>
      <c r="I358" s="376"/>
    </row>
    <row r="359" spans="2:9">
      <c r="C359" s="67" t="s">
        <v>441</v>
      </c>
      <c r="D359" s="112"/>
      <c r="E359" s="74"/>
      <c r="F359" s="74"/>
      <c r="G359" s="164"/>
      <c r="H359" s="164"/>
      <c r="I359" s="376"/>
    </row>
    <row r="360" spans="2:9">
      <c r="C360" s="67" t="s">
        <v>240</v>
      </c>
      <c r="D360" s="112"/>
      <c r="E360" s="74"/>
      <c r="F360" s="74"/>
      <c r="G360" s="164"/>
      <c r="H360" s="164"/>
      <c r="I360" s="376"/>
    </row>
    <row r="361" spans="2:9">
      <c r="C361" s="67" t="s">
        <v>423</v>
      </c>
      <c r="D361" s="112"/>
      <c r="E361" s="74"/>
      <c r="F361" s="74"/>
      <c r="G361" s="164"/>
      <c r="H361" s="164"/>
      <c r="I361" s="376"/>
    </row>
    <row r="362" spans="2:9">
      <c r="C362" s="67" t="s">
        <v>442</v>
      </c>
      <c r="D362" s="112"/>
      <c r="E362" s="74"/>
      <c r="F362" s="74"/>
      <c r="G362" s="164"/>
      <c r="H362" s="164"/>
      <c r="I362" s="376"/>
    </row>
    <row r="363" spans="2:9">
      <c r="C363" s="67" t="s">
        <v>443</v>
      </c>
      <c r="D363" s="112"/>
      <c r="E363" s="74"/>
      <c r="F363" s="74"/>
      <c r="G363" s="164"/>
      <c r="H363" s="164"/>
      <c r="I363" s="376"/>
    </row>
    <row r="364" spans="2:9">
      <c r="C364" s="76" t="s">
        <v>874</v>
      </c>
      <c r="D364" s="94"/>
      <c r="E364" s="132"/>
      <c r="F364" s="132"/>
      <c r="G364" s="273">
        <v>100</v>
      </c>
      <c r="H364" s="273">
        <f>G364*I7</f>
        <v>8450</v>
      </c>
      <c r="I364" s="388"/>
    </row>
    <row r="365" spans="2:9" ht="15.75" thickBot="1">
      <c r="C365" s="710" t="s">
        <v>1031</v>
      </c>
      <c r="D365" s="711"/>
      <c r="E365" s="711"/>
      <c r="F365" s="711"/>
      <c r="G365" s="711"/>
      <c r="H365" s="711"/>
      <c r="I365" s="712"/>
    </row>
    <row r="367" spans="2:9" ht="15.75" thickBot="1"/>
    <row r="368" spans="2:9">
      <c r="B368" s="79" t="str">
        <f>'Costed Impl plan'!B57</f>
        <v>1.3.1</v>
      </c>
      <c r="C368" s="808" t="s">
        <v>1012</v>
      </c>
      <c r="D368" s="809"/>
      <c r="E368" s="809"/>
      <c r="F368" s="809"/>
      <c r="G368" s="809"/>
      <c r="H368" s="809"/>
      <c r="I368" s="810"/>
    </row>
    <row r="369" spans="2:27" ht="30">
      <c r="C369" s="131" t="s">
        <v>452</v>
      </c>
      <c r="D369" s="113" t="s">
        <v>703</v>
      </c>
      <c r="E369" s="113" t="s">
        <v>453</v>
      </c>
      <c r="F369" s="113" t="s">
        <v>935</v>
      </c>
      <c r="G369" s="270" t="s">
        <v>932</v>
      </c>
      <c r="H369" s="270" t="s">
        <v>933</v>
      </c>
      <c r="I369" s="375" t="s">
        <v>651</v>
      </c>
    </row>
    <row r="370" spans="2:27" s="79" customFormat="1" ht="30" customHeight="1">
      <c r="C370" s="176" t="s">
        <v>875</v>
      </c>
      <c r="D370" s="113"/>
      <c r="E370" s="82"/>
      <c r="F370" s="82"/>
      <c r="G370" s="267"/>
      <c r="H370" s="267"/>
      <c r="I370" s="441" t="s">
        <v>876</v>
      </c>
    </row>
    <row r="371" spans="2:27" ht="22.5" customHeight="1">
      <c r="C371" s="209" t="s">
        <v>454</v>
      </c>
      <c r="D371" s="203" t="s">
        <v>704</v>
      </c>
      <c r="E371" s="203">
        <v>20</v>
      </c>
      <c r="F371" s="205">
        <v>3.6175781250000001</v>
      </c>
      <c r="G371" s="164">
        <f t="shared" ref="G371:G376" si="2">E371*F371</f>
        <v>72.3515625</v>
      </c>
      <c r="H371" s="164">
        <f>G371*I7</f>
        <v>6113.70703125</v>
      </c>
      <c r="I371" s="441"/>
    </row>
    <row r="372" spans="2:27" ht="24" customHeight="1">
      <c r="C372" s="209" t="s">
        <v>455</v>
      </c>
      <c r="D372" s="203" t="s">
        <v>704</v>
      </c>
      <c r="E372" s="203">
        <v>20</v>
      </c>
      <c r="F372" s="205">
        <v>7.2351562500000002</v>
      </c>
      <c r="G372" s="164">
        <f t="shared" si="2"/>
        <v>144.703125</v>
      </c>
      <c r="H372" s="164">
        <f>G372*I7</f>
        <v>12227.4140625</v>
      </c>
      <c r="I372" s="441"/>
    </row>
    <row r="373" spans="2:27" ht="23.25" customHeight="1">
      <c r="C373" s="209" t="s">
        <v>456</v>
      </c>
      <c r="D373" s="203" t="s">
        <v>704</v>
      </c>
      <c r="E373" s="203">
        <v>20</v>
      </c>
      <c r="F373" s="205">
        <v>1.44703125</v>
      </c>
      <c r="G373" s="164">
        <f t="shared" si="2"/>
        <v>28.940625000000001</v>
      </c>
      <c r="H373" s="164">
        <f>G373*I7</f>
        <v>2445.4828124999999</v>
      </c>
      <c r="I373" s="441"/>
    </row>
    <row r="374" spans="2:27" ht="22.5" customHeight="1">
      <c r="C374" s="209" t="s">
        <v>457</v>
      </c>
      <c r="D374" s="203" t="s">
        <v>704</v>
      </c>
      <c r="E374" s="203">
        <v>20</v>
      </c>
      <c r="F374" s="205">
        <v>0.723515625</v>
      </c>
      <c r="G374" s="164">
        <f t="shared" si="2"/>
        <v>14.4703125</v>
      </c>
      <c r="H374" s="164">
        <f>G374*I7</f>
        <v>1222.74140625</v>
      </c>
      <c r="I374" s="441"/>
    </row>
    <row r="375" spans="2:27" ht="24" customHeight="1">
      <c r="C375" s="209" t="s">
        <v>458</v>
      </c>
      <c r="D375" s="203" t="s">
        <v>704</v>
      </c>
      <c r="E375" s="203">
        <v>20</v>
      </c>
      <c r="F375" s="205">
        <v>3.6175781250000001</v>
      </c>
      <c r="G375" s="164">
        <f t="shared" si="2"/>
        <v>72.3515625</v>
      </c>
      <c r="H375" s="164">
        <f>G375*I7</f>
        <v>6113.70703125</v>
      </c>
      <c r="I375" s="441"/>
    </row>
    <row r="376" spans="2:27" s="79" customFormat="1" ht="21.75" customHeight="1">
      <c r="C376" s="209" t="s">
        <v>459</v>
      </c>
      <c r="D376" s="203" t="s">
        <v>704</v>
      </c>
      <c r="E376" s="203">
        <v>20</v>
      </c>
      <c r="F376" s="205">
        <v>0.723515625</v>
      </c>
      <c r="G376" s="164">
        <f t="shared" si="2"/>
        <v>14.4703125</v>
      </c>
      <c r="H376" s="164">
        <f>G376*I7</f>
        <v>1222.74140625</v>
      </c>
      <c r="I376" s="442"/>
    </row>
    <row r="377" spans="2:27" ht="21.75" customHeight="1">
      <c r="B377" s="83"/>
      <c r="C377" s="250" t="s">
        <v>496</v>
      </c>
      <c r="D377" s="251"/>
      <c r="E377" s="251"/>
      <c r="F377" s="55"/>
      <c r="G377" s="164">
        <f>SUM(G371:G376)</f>
        <v>347.28749999999997</v>
      </c>
      <c r="H377" s="164">
        <f>G377*I7</f>
        <v>29345.793749999997</v>
      </c>
      <c r="I377" s="441"/>
    </row>
    <row r="378" spans="2:27" s="90" customFormat="1" ht="21.75" customHeight="1">
      <c r="C378" s="252" t="s">
        <v>857</v>
      </c>
      <c r="D378" s="106"/>
      <c r="E378" s="74"/>
      <c r="F378" s="74"/>
      <c r="G378" s="164">
        <f>SUM(G377:G377)</f>
        <v>347.28749999999997</v>
      </c>
      <c r="H378" s="164">
        <f>G378*I7</f>
        <v>29345.793749999997</v>
      </c>
      <c r="I378" s="443"/>
    </row>
    <row r="379" spans="2:27" s="95" customFormat="1" ht="21.75" customHeight="1">
      <c r="C379" s="131" t="s">
        <v>858</v>
      </c>
      <c r="D379" s="113"/>
      <c r="E379" s="82"/>
      <c r="F379" s="82"/>
      <c r="G379" s="267">
        <f>G378*2</f>
        <v>694.57499999999993</v>
      </c>
      <c r="H379" s="267">
        <f>G379*I7</f>
        <v>58691.587499999994</v>
      </c>
      <c r="I379" s="375"/>
    </row>
    <row r="380" spans="2:27" s="79" customFormat="1" ht="30" customHeight="1">
      <c r="C380" s="409" t="s">
        <v>673</v>
      </c>
      <c r="D380" s="113"/>
      <c r="E380" s="82">
        <v>1</v>
      </c>
      <c r="F380" s="96">
        <v>5000</v>
      </c>
      <c r="G380" s="267">
        <f>E380*F380</f>
        <v>5000</v>
      </c>
      <c r="H380" s="267">
        <f>G380*I7</f>
        <v>422500</v>
      </c>
      <c r="I380" s="441" t="s">
        <v>859</v>
      </c>
    </row>
    <row r="381" spans="2:27" s="79" customFormat="1" ht="60">
      <c r="C381" s="409" t="s">
        <v>672</v>
      </c>
      <c r="D381" s="113"/>
      <c r="E381" s="82">
        <f>15*12</f>
        <v>180</v>
      </c>
      <c r="F381" s="206">
        <f>350*1.05</f>
        <v>367.5</v>
      </c>
      <c r="G381" s="267">
        <f>E381*F381</f>
        <v>66150</v>
      </c>
      <c r="H381" s="267">
        <f>G381*I7</f>
        <v>5589675</v>
      </c>
      <c r="I381" s="472" t="s">
        <v>674</v>
      </c>
    </row>
    <row r="382" spans="2:27" ht="21" customHeight="1">
      <c r="B382" s="83"/>
      <c r="C382" s="253" t="s">
        <v>867</v>
      </c>
      <c r="D382" s="251"/>
      <c r="E382" s="251"/>
      <c r="F382" s="254"/>
      <c r="G382" s="164">
        <f>SUM(G379:G381)*25%</f>
        <v>17961.143749999999</v>
      </c>
      <c r="H382" s="164">
        <f>G382*I7</f>
        <v>1517716.6468749999</v>
      </c>
      <c r="I382" s="376"/>
    </row>
    <row r="383" spans="2:27" ht="20.25" customHeight="1">
      <c r="C383" s="77" t="s">
        <v>877</v>
      </c>
      <c r="D383" s="82"/>
      <c r="E383" s="74"/>
      <c r="F383" s="74"/>
      <c r="G383" s="267">
        <f>SUM(G379:G382)*1.05</f>
        <v>94296.004687499997</v>
      </c>
      <c r="H383" s="267">
        <f>G383*I7</f>
        <v>7968012.3960937494</v>
      </c>
      <c r="I383" s="376"/>
    </row>
    <row r="384" spans="2:27" ht="15.75" thickBot="1">
      <c r="C384" s="710" t="s">
        <v>1031</v>
      </c>
      <c r="D384" s="711"/>
      <c r="E384" s="711"/>
      <c r="F384" s="711"/>
      <c r="G384" s="711"/>
      <c r="H384" s="711"/>
      <c r="I384" s="712"/>
      <c r="W384" s="83">
        <v>32241.176470588234</v>
      </c>
      <c r="X384" s="83">
        <v>0</v>
      </c>
      <c r="Y384" s="83">
        <v>0</v>
      </c>
      <c r="Z384" s="83">
        <v>0</v>
      </c>
      <c r="AA384" s="83">
        <v>0</v>
      </c>
    </row>
    <row r="385" spans="1:27">
      <c r="W385" s="83">
        <v>72264.705882352937</v>
      </c>
      <c r="X385" s="83">
        <v>126463.23529411765</v>
      </c>
      <c r="Y385" s="83">
        <v>132786.39705882355</v>
      </c>
      <c r="Z385" s="83">
        <v>139425.71691176473</v>
      </c>
      <c r="AA385" s="83">
        <v>146397.00275735295</v>
      </c>
    </row>
    <row r="386" spans="1:27" ht="15.75" thickBot="1">
      <c r="J386" s="79"/>
      <c r="K386" s="79"/>
    </row>
    <row r="387" spans="1:27" s="171" customFormat="1" ht="21" customHeight="1">
      <c r="A387" s="79"/>
      <c r="B387" s="79" t="str">
        <f>'Costed Impl plan'!B58</f>
        <v>1.3.2</v>
      </c>
      <c r="C387" s="774" t="s">
        <v>219</v>
      </c>
      <c r="D387" s="775"/>
      <c r="E387" s="775"/>
      <c r="F387" s="775"/>
      <c r="G387" s="775"/>
      <c r="H387" s="775"/>
      <c r="I387" s="776"/>
      <c r="J387" s="79"/>
      <c r="K387" s="79"/>
    </row>
    <row r="388" spans="1:27" s="171" customFormat="1" ht="30">
      <c r="A388" s="79"/>
      <c r="B388" s="79"/>
      <c r="C388" s="414" t="s">
        <v>452</v>
      </c>
      <c r="D388" s="190" t="s">
        <v>703</v>
      </c>
      <c r="E388" s="190" t="s">
        <v>453</v>
      </c>
      <c r="F388" s="190" t="s">
        <v>935</v>
      </c>
      <c r="G388" s="293" t="s">
        <v>932</v>
      </c>
      <c r="H388" s="293" t="s">
        <v>933</v>
      </c>
      <c r="I388" s="419" t="s">
        <v>651</v>
      </c>
      <c r="J388" s="79"/>
      <c r="K388" s="79"/>
    </row>
    <row r="389" spans="1:27" s="171" customFormat="1">
      <c r="A389" s="79"/>
      <c r="B389" s="79"/>
      <c r="C389" s="415" t="s">
        <v>446</v>
      </c>
      <c r="D389" s="387"/>
      <c r="E389" s="152"/>
      <c r="F389" s="152"/>
      <c r="G389" s="279"/>
      <c r="H389" s="279"/>
      <c r="I389" s="388" t="s">
        <v>447</v>
      </c>
      <c r="J389" s="79"/>
      <c r="K389" s="79"/>
    </row>
    <row r="390" spans="1:27" s="171" customFormat="1">
      <c r="A390" s="79"/>
      <c r="B390" s="79"/>
      <c r="C390" s="91" t="s">
        <v>805</v>
      </c>
      <c r="D390" s="152"/>
      <c r="E390" s="152"/>
      <c r="F390" s="152"/>
      <c r="G390" s="279"/>
      <c r="H390" s="279"/>
      <c r="I390" s="388"/>
      <c r="J390" s="79"/>
      <c r="K390" s="79"/>
    </row>
    <row r="391" spans="1:27" s="171" customFormat="1">
      <c r="A391" s="79"/>
      <c r="B391" s="79"/>
      <c r="C391" s="381" t="s">
        <v>714</v>
      </c>
      <c r="D391" s="152" t="s">
        <v>706</v>
      </c>
      <c r="E391" s="152">
        <v>40</v>
      </c>
      <c r="F391" s="152">
        <f>275</f>
        <v>275</v>
      </c>
      <c r="G391" s="279">
        <v>0</v>
      </c>
      <c r="H391" s="279">
        <f>G391*I7</f>
        <v>0</v>
      </c>
      <c r="I391" s="388"/>
      <c r="J391" s="79"/>
      <c r="K391" s="79"/>
    </row>
    <row r="392" spans="1:27" s="171" customFormat="1">
      <c r="A392" s="79"/>
      <c r="B392" s="79"/>
      <c r="C392" s="381" t="s">
        <v>707</v>
      </c>
      <c r="D392" s="152" t="s">
        <v>708</v>
      </c>
      <c r="E392" s="152">
        <v>5</v>
      </c>
      <c r="F392" s="152">
        <f>1500/80</f>
        <v>18.75</v>
      </c>
      <c r="G392" s="279">
        <v>0</v>
      </c>
      <c r="H392" s="279">
        <f>G392*I7</f>
        <v>0</v>
      </c>
      <c r="I392" s="388"/>
      <c r="J392" s="79"/>
      <c r="K392" s="79"/>
    </row>
    <row r="393" spans="1:27" s="170" customFormat="1">
      <c r="A393" s="79"/>
      <c r="B393" s="79"/>
      <c r="C393" s="382" t="s">
        <v>715</v>
      </c>
      <c r="D393" s="87"/>
      <c r="E393" s="87"/>
      <c r="F393" s="87"/>
      <c r="G393" s="206">
        <v>0</v>
      </c>
      <c r="H393" s="206">
        <f>G393*I7</f>
        <v>0</v>
      </c>
      <c r="I393" s="390"/>
      <c r="J393" s="79"/>
      <c r="K393" s="79"/>
    </row>
    <row r="394" spans="1:27" s="170" customFormat="1">
      <c r="A394" s="79"/>
      <c r="B394" s="79"/>
      <c r="C394" s="383" t="s">
        <v>912</v>
      </c>
      <c r="D394" s="391"/>
      <c r="E394" s="87">
        <v>3500</v>
      </c>
      <c r="F394" s="87">
        <v>7.5</v>
      </c>
      <c r="G394" s="206">
        <v>0</v>
      </c>
      <c r="H394" s="206">
        <f>G394*I7</f>
        <v>0</v>
      </c>
      <c r="I394" s="390"/>
      <c r="J394" s="79"/>
      <c r="K394" s="79"/>
    </row>
    <row r="395" spans="1:27" s="171" customFormat="1">
      <c r="A395" s="79"/>
      <c r="B395" s="79"/>
      <c r="C395" s="416" t="s">
        <v>867</v>
      </c>
      <c r="D395" s="417"/>
      <c r="E395" s="417"/>
      <c r="F395" s="418"/>
      <c r="G395" s="389">
        <f>SUM(G393:G394)*25%</f>
        <v>0</v>
      </c>
      <c r="H395" s="279">
        <f>G395*I7</f>
        <v>0</v>
      </c>
      <c r="I395" s="388"/>
      <c r="J395" s="79"/>
      <c r="K395" s="79"/>
    </row>
    <row r="396" spans="1:27" s="171" customFormat="1">
      <c r="A396" s="79"/>
      <c r="B396" s="79"/>
      <c r="C396" s="91" t="s">
        <v>463</v>
      </c>
      <c r="D396" s="87"/>
      <c r="E396" s="152"/>
      <c r="F396" s="152"/>
      <c r="G396" s="206">
        <f>SUM(G393:G395)</f>
        <v>0</v>
      </c>
      <c r="H396" s="206">
        <f>G396*I7</f>
        <v>0</v>
      </c>
      <c r="I396" s="388"/>
      <c r="J396" s="79"/>
      <c r="K396" s="79"/>
    </row>
    <row r="397" spans="1:27" s="171" customFormat="1" ht="16.149999999999999" customHeight="1" thickBot="1">
      <c r="A397" s="79"/>
      <c r="B397" s="79"/>
      <c r="C397" s="710" t="s">
        <v>1031</v>
      </c>
      <c r="D397" s="711"/>
      <c r="E397" s="711"/>
      <c r="F397" s="711"/>
      <c r="G397" s="711"/>
      <c r="H397" s="711"/>
      <c r="I397" s="712"/>
      <c r="J397" s="79"/>
      <c r="K397" s="79"/>
    </row>
    <row r="398" spans="1:27">
      <c r="J398" s="79"/>
      <c r="K398" s="79"/>
    </row>
    <row r="399" spans="1:27" ht="15.75" thickBot="1"/>
    <row r="400" spans="1:27" s="171" customFormat="1" ht="33" customHeight="1">
      <c r="B400" s="170" t="str">
        <f>'Costed Impl plan'!B59</f>
        <v>1.3.3</v>
      </c>
      <c r="C400" s="774" t="str">
        <f>'Costed Impl plan'!C59</f>
        <v>Update Education Curriculum  and TTI Training curriculum on HIV &amp; LSE from Grade- iv to Xii</v>
      </c>
      <c r="D400" s="775"/>
      <c r="E400" s="775"/>
      <c r="F400" s="775"/>
      <c r="G400" s="775"/>
      <c r="H400" s="775"/>
      <c r="I400" s="776"/>
    </row>
    <row r="401" spans="2:9" s="171" customFormat="1" ht="30">
      <c r="B401" s="170"/>
      <c r="C401" s="414" t="s">
        <v>452</v>
      </c>
      <c r="D401" s="190" t="s">
        <v>703</v>
      </c>
      <c r="E401" s="190" t="s">
        <v>453</v>
      </c>
      <c r="F401" s="190" t="s">
        <v>935</v>
      </c>
      <c r="G401" s="293" t="s">
        <v>932</v>
      </c>
      <c r="H401" s="293" t="s">
        <v>933</v>
      </c>
      <c r="I401" s="419" t="s">
        <v>651</v>
      </c>
    </row>
    <row r="402" spans="2:9" s="171" customFormat="1">
      <c r="B402" s="170"/>
      <c r="C402" s="415" t="s">
        <v>446</v>
      </c>
      <c r="D402" s="387"/>
      <c r="E402" s="152"/>
      <c r="F402" s="152"/>
      <c r="G402" s="279"/>
      <c r="H402" s="279"/>
      <c r="I402" s="388" t="s">
        <v>447</v>
      </c>
    </row>
    <row r="403" spans="2:9" s="171" customFormat="1">
      <c r="B403" s="170"/>
      <c r="C403" s="91" t="s">
        <v>805</v>
      </c>
      <c r="D403" s="152"/>
      <c r="E403" s="152"/>
      <c r="F403" s="152"/>
      <c r="G403" s="279"/>
      <c r="H403" s="279"/>
      <c r="I403" s="388"/>
    </row>
    <row r="404" spans="2:9" s="171" customFormat="1">
      <c r="B404" s="170"/>
      <c r="C404" s="381" t="s">
        <v>714</v>
      </c>
      <c r="D404" s="152" t="s">
        <v>706</v>
      </c>
      <c r="E404" s="152">
        <v>40</v>
      </c>
      <c r="F404" s="152">
        <f>275</f>
        <v>275</v>
      </c>
      <c r="G404" s="279">
        <v>6000</v>
      </c>
      <c r="H404" s="279">
        <f>G404*I7</f>
        <v>507000</v>
      </c>
      <c r="I404" s="388"/>
    </row>
    <row r="405" spans="2:9" s="171" customFormat="1">
      <c r="B405" s="170"/>
      <c r="C405" s="381" t="s">
        <v>707</v>
      </c>
      <c r="D405" s="152" t="s">
        <v>708</v>
      </c>
      <c r="E405" s="152">
        <v>5</v>
      </c>
      <c r="F405" s="152">
        <f>1500/80</f>
        <v>18.75</v>
      </c>
      <c r="G405" s="279">
        <f>E405*F405</f>
        <v>93.75</v>
      </c>
      <c r="H405" s="389">
        <f>G405*I7</f>
        <v>7921.875</v>
      </c>
      <c r="I405" s="388"/>
    </row>
    <row r="406" spans="2:9" s="170" customFormat="1">
      <c r="C406" s="382" t="s">
        <v>715</v>
      </c>
      <c r="D406" s="87"/>
      <c r="E406" s="87"/>
      <c r="F406" s="87"/>
      <c r="G406" s="206">
        <f>SUM(G404:G405)</f>
        <v>6093.75</v>
      </c>
      <c r="H406" s="297">
        <f>G406*I7</f>
        <v>514921.875</v>
      </c>
      <c r="I406" s="390"/>
    </row>
    <row r="407" spans="2:9" s="170" customFormat="1">
      <c r="C407" s="383" t="s">
        <v>912</v>
      </c>
      <c r="D407" s="391"/>
      <c r="E407" s="87">
        <v>3500</v>
      </c>
      <c r="F407" s="87">
        <v>7.5</v>
      </c>
      <c r="G407" s="206">
        <f>E407*F407</f>
        <v>26250</v>
      </c>
      <c r="H407" s="206">
        <f>G407*I7</f>
        <v>2218125</v>
      </c>
      <c r="I407" s="390"/>
    </row>
    <row r="408" spans="2:9" s="171" customFormat="1">
      <c r="C408" s="416" t="s">
        <v>867</v>
      </c>
      <c r="D408" s="417"/>
      <c r="E408" s="417"/>
      <c r="F408" s="418"/>
      <c r="G408" s="389">
        <v>4000</v>
      </c>
      <c r="H408" s="279">
        <f>G408*I7</f>
        <v>338000</v>
      </c>
      <c r="I408" s="388"/>
    </row>
    <row r="409" spans="2:9" s="171" customFormat="1">
      <c r="B409" s="170"/>
      <c r="C409" s="91" t="s">
        <v>463</v>
      </c>
      <c r="D409" s="87"/>
      <c r="E409" s="152"/>
      <c r="F409" s="152"/>
      <c r="G409" s="206">
        <f>SUM(G406:G408)</f>
        <v>36343.75</v>
      </c>
      <c r="H409" s="297">
        <f>G409*I7</f>
        <v>3071046.875</v>
      </c>
      <c r="I409" s="388"/>
    </row>
    <row r="410" spans="2:9" s="171" customFormat="1" ht="15.75" thickBot="1">
      <c r="B410" s="170"/>
      <c r="C410" s="710" t="s">
        <v>1031</v>
      </c>
      <c r="D410" s="711"/>
      <c r="E410" s="711"/>
      <c r="F410" s="711"/>
      <c r="G410" s="711"/>
      <c r="H410" s="711"/>
      <c r="I410" s="712"/>
    </row>
    <row r="412" spans="2:9" ht="15.75" thickBot="1"/>
    <row r="413" spans="2:9" s="374" customFormat="1" ht="24" customHeight="1">
      <c r="B413" s="393" t="str">
        <f>'Costed Impl plan'!B60</f>
        <v>1.3.4</v>
      </c>
      <c r="C413" s="704" t="str">
        <f>'Costed Impl plan'!C60</f>
        <v xml:space="preserve">Training of master trainers and peer educators </v>
      </c>
      <c r="D413" s="705"/>
      <c r="E413" s="705"/>
      <c r="F413" s="705"/>
      <c r="G413" s="705"/>
      <c r="H413" s="705"/>
      <c r="I413" s="706"/>
    </row>
    <row r="414" spans="2:9" ht="27" customHeight="1">
      <c r="C414" s="707" t="s">
        <v>1128</v>
      </c>
      <c r="D414" s="708"/>
      <c r="E414" s="708"/>
      <c r="F414" s="708"/>
      <c r="G414" s="708"/>
      <c r="H414" s="708"/>
      <c r="I414" s="709"/>
    </row>
    <row r="415" spans="2:9" ht="30">
      <c r="C415" s="131" t="s">
        <v>452</v>
      </c>
      <c r="D415" s="113" t="s">
        <v>703</v>
      </c>
      <c r="E415" s="113" t="s">
        <v>453</v>
      </c>
      <c r="F415" s="113" t="s">
        <v>935</v>
      </c>
      <c r="G415" s="270" t="s">
        <v>932</v>
      </c>
      <c r="H415" s="270" t="s">
        <v>933</v>
      </c>
      <c r="I415" s="375" t="s">
        <v>651</v>
      </c>
    </row>
    <row r="416" spans="2:9">
      <c r="C416" s="77" t="s">
        <v>1126</v>
      </c>
      <c r="D416" s="74"/>
      <c r="E416" s="106"/>
      <c r="F416" s="106"/>
      <c r="G416" s="277"/>
      <c r="H416" s="277"/>
      <c r="I416" s="376"/>
    </row>
    <row r="417" spans="3:10">
      <c r="C417" s="150" t="s">
        <v>740</v>
      </c>
      <c r="D417" s="74" t="s">
        <v>746</v>
      </c>
      <c r="E417" s="74">
        <v>3</v>
      </c>
      <c r="F417" s="160"/>
      <c r="G417" s="164"/>
      <c r="H417" s="164">
        <f>G417*I7</f>
        <v>0</v>
      </c>
      <c r="I417" s="376"/>
    </row>
    <row r="418" spans="3:10">
      <c r="C418" s="150" t="s">
        <v>741</v>
      </c>
      <c r="D418" s="74" t="s">
        <v>747</v>
      </c>
      <c r="E418" s="74">
        <f>25*3</f>
        <v>75</v>
      </c>
      <c r="F418" s="160"/>
      <c r="G418" s="164"/>
      <c r="H418" s="164">
        <f>G418*I7</f>
        <v>0</v>
      </c>
      <c r="I418" s="376"/>
    </row>
    <row r="419" spans="3:10">
      <c r="C419" s="150" t="s">
        <v>742</v>
      </c>
      <c r="D419" s="74" t="s">
        <v>747</v>
      </c>
      <c r="E419" s="74">
        <f>25*3</f>
        <v>75</v>
      </c>
      <c r="F419" s="160"/>
      <c r="G419" s="164"/>
      <c r="H419" s="164">
        <f>G419*I7</f>
        <v>0</v>
      </c>
      <c r="I419" s="376"/>
    </row>
    <row r="420" spans="3:10">
      <c r="C420" s="150" t="s">
        <v>713</v>
      </c>
      <c r="D420" s="74" t="s">
        <v>748</v>
      </c>
      <c r="E420" s="74">
        <v>25</v>
      </c>
      <c r="F420" s="160"/>
      <c r="G420" s="164"/>
      <c r="H420" s="164">
        <f>G420*I7</f>
        <v>0</v>
      </c>
      <c r="I420" s="376"/>
    </row>
    <row r="421" spans="3:10">
      <c r="C421" s="150" t="s">
        <v>949</v>
      </c>
      <c r="D421" s="74" t="s">
        <v>748</v>
      </c>
      <c r="E421" s="74">
        <v>25</v>
      </c>
      <c r="F421" s="160"/>
      <c r="G421" s="164"/>
      <c r="H421" s="164">
        <f>G421*I7</f>
        <v>0</v>
      </c>
      <c r="I421" s="376"/>
    </row>
    <row r="422" spans="3:10">
      <c r="C422" s="150" t="s">
        <v>744</v>
      </c>
      <c r="D422" s="74" t="s">
        <v>748</v>
      </c>
      <c r="E422" s="74">
        <v>25</v>
      </c>
      <c r="F422" s="160"/>
      <c r="G422" s="164"/>
      <c r="H422" s="164">
        <f>G422*I7</f>
        <v>0</v>
      </c>
      <c r="I422" s="376"/>
    </row>
    <row r="423" spans="3:10">
      <c r="C423" s="150" t="s">
        <v>745</v>
      </c>
      <c r="D423" s="74" t="s">
        <v>746</v>
      </c>
      <c r="E423" s="74">
        <v>3</v>
      </c>
      <c r="F423" s="160"/>
      <c r="G423" s="164"/>
      <c r="H423" s="296">
        <f>G423*I7</f>
        <v>0</v>
      </c>
      <c r="I423" s="376"/>
    </row>
    <row r="424" spans="3:10">
      <c r="C424" s="97" t="s">
        <v>1125</v>
      </c>
      <c r="D424" s="74" t="s">
        <v>747</v>
      </c>
      <c r="E424" s="74">
        <v>75</v>
      </c>
      <c r="F424" s="160">
        <f>200/3</f>
        <v>66.666666666666671</v>
      </c>
      <c r="G424" s="164">
        <v>3000</v>
      </c>
      <c r="H424" s="164">
        <f>G424*I7</f>
        <v>253500</v>
      </c>
      <c r="I424" s="376"/>
    </row>
    <row r="425" spans="3:10" s="79" customFormat="1">
      <c r="C425" s="163" t="s">
        <v>917</v>
      </c>
      <c r="D425" s="82"/>
      <c r="E425" s="82"/>
      <c r="F425" s="82"/>
      <c r="G425" s="267">
        <f>SUM(G417:G424)</f>
        <v>3000</v>
      </c>
      <c r="H425" s="267">
        <f>G425*I7</f>
        <v>253500</v>
      </c>
      <c r="I425" s="377"/>
      <c r="J425" s="373"/>
    </row>
    <row r="426" spans="3:10" s="79" customFormat="1">
      <c r="C426" s="163" t="s">
        <v>967</v>
      </c>
      <c r="D426" s="82"/>
      <c r="E426" s="82"/>
      <c r="F426" s="82"/>
      <c r="G426" s="267">
        <f>G425*2</f>
        <v>6000</v>
      </c>
      <c r="H426" s="267">
        <f>G426*I7</f>
        <v>507000</v>
      </c>
      <c r="I426" s="377"/>
      <c r="J426" s="373"/>
    </row>
    <row r="427" spans="3:10" s="79" customFormat="1">
      <c r="C427" s="163"/>
      <c r="D427" s="82"/>
      <c r="E427" s="82"/>
      <c r="F427" s="82"/>
      <c r="G427" s="267"/>
      <c r="H427" s="294"/>
      <c r="I427" s="377"/>
      <c r="J427" s="373"/>
    </row>
    <row r="428" spans="3:10">
      <c r="C428" s="77" t="s">
        <v>1127</v>
      </c>
      <c r="D428" s="74"/>
      <c r="E428" s="106"/>
      <c r="F428" s="106"/>
      <c r="G428" s="277"/>
      <c r="H428" s="277"/>
      <c r="I428" s="376"/>
    </row>
    <row r="429" spans="3:10">
      <c r="C429" s="150" t="s">
        <v>740</v>
      </c>
      <c r="D429" s="74" t="s">
        <v>746</v>
      </c>
      <c r="E429" s="74">
        <v>3</v>
      </c>
      <c r="F429" s="160"/>
      <c r="G429" s="164">
        <f>E429*F429</f>
        <v>0</v>
      </c>
      <c r="H429" s="164">
        <f>G429*I7</f>
        <v>0</v>
      </c>
      <c r="I429" s="376"/>
    </row>
    <row r="430" spans="3:10">
      <c r="C430" s="150" t="s">
        <v>741</v>
      </c>
      <c r="D430" s="74" t="s">
        <v>747</v>
      </c>
      <c r="E430" s="74">
        <f>30*3</f>
        <v>90</v>
      </c>
      <c r="F430" s="160"/>
      <c r="G430" s="164">
        <f t="shared" ref="G430:G436" si="3">E430*F430</f>
        <v>0</v>
      </c>
      <c r="H430" s="164">
        <f>G430*I7</f>
        <v>0</v>
      </c>
      <c r="I430" s="376"/>
    </row>
    <row r="431" spans="3:10">
      <c r="C431" s="150" t="s">
        <v>742</v>
      </c>
      <c r="D431" s="74" t="s">
        <v>747</v>
      </c>
      <c r="E431" s="74">
        <f>30*3</f>
        <v>90</v>
      </c>
      <c r="F431" s="160"/>
      <c r="G431" s="164">
        <f t="shared" si="3"/>
        <v>0</v>
      </c>
      <c r="H431" s="164">
        <f>G431*I7</f>
        <v>0</v>
      </c>
      <c r="I431" s="376"/>
    </row>
    <row r="432" spans="3:10">
      <c r="C432" s="150" t="s">
        <v>713</v>
      </c>
      <c r="D432" s="74" t="s">
        <v>748</v>
      </c>
      <c r="E432" s="74">
        <v>30</v>
      </c>
      <c r="F432" s="160"/>
      <c r="G432" s="164">
        <f t="shared" si="3"/>
        <v>0</v>
      </c>
      <c r="H432" s="164">
        <f>G432*I7</f>
        <v>0</v>
      </c>
      <c r="I432" s="376"/>
    </row>
    <row r="433" spans="2:10">
      <c r="C433" s="150" t="s">
        <v>949</v>
      </c>
      <c r="D433" s="74" t="s">
        <v>748</v>
      </c>
      <c r="E433" s="74">
        <v>30</v>
      </c>
      <c r="F433" s="160"/>
      <c r="G433" s="164">
        <f t="shared" si="3"/>
        <v>0</v>
      </c>
      <c r="H433" s="164">
        <f>G433*I7</f>
        <v>0</v>
      </c>
      <c r="I433" s="376"/>
    </row>
    <row r="434" spans="2:10">
      <c r="C434" s="150" t="s">
        <v>744</v>
      </c>
      <c r="D434" s="74" t="s">
        <v>748</v>
      </c>
      <c r="E434" s="74">
        <v>30</v>
      </c>
      <c r="F434" s="160"/>
      <c r="G434" s="164">
        <f t="shared" si="3"/>
        <v>0</v>
      </c>
      <c r="H434" s="164">
        <f>G434*I7</f>
        <v>0</v>
      </c>
      <c r="I434" s="376"/>
    </row>
    <row r="435" spans="2:10">
      <c r="C435" s="150" t="s">
        <v>745</v>
      </c>
      <c r="D435" s="74" t="s">
        <v>746</v>
      </c>
      <c r="E435" s="74">
        <v>3</v>
      </c>
      <c r="F435" s="160"/>
      <c r="G435" s="164">
        <f t="shared" ref="G435" si="4">E435*F435</f>
        <v>0</v>
      </c>
      <c r="H435" s="164">
        <f>G435*I7</f>
        <v>0</v>
      </c>
      <c r="I435" s="376"/>
    </row>
    <row r="436" spans="2:10">
      <c r="C436" s="97" t="s">
        <v>1125</v>
      </c>
      <c r="D436" s="74" t="s">
        <v>747</v>
      </c>
      <c r="E436" s="74">
        <v>90</v>
      </c>
      <c r="F436" s="160">
        <f>200/3</f>
        <v>66.666666666666671</v>
      </c>
      <c r="G436" s="164">
        <f t="shared" si="3"/>
        <v>6000</v>
      </c>
      <c r="H436" s="164">
        <f>G436*I7</f>
        <v>507000</v>
      </c>
      <c r="I436" s="376"/>
    </row>
    <row r="437" spans="2:10" s="79" customFormat="1">
      <c r="C437" s="163" t="s">
        <v>917</v>
      </c>
      <c r="D437" s="82"/>
      <c r="E437" s="82"/>
      <c r="F437" s="82"/>
      <c r="G437" s="267">
        <f>SUM(G429:G436)</f>
        <v>6000</v>
      </c>
      <c r="H437" s="267">
        <f>G437*I7</f>
        <v>507000</v>
      </c>
      <c r="I437" s="377"/>
      <c r="J437" s="373"/>
    </row>
    <row r="438" spans="2:10" s="79" customFormat="1">
      <c r="C438" s="163" t="s">
        <v>968</v>
      </c>
      <c r="D438" s="82"/>
      <c r="E438" s="82"/>
      <c r="F438" s="82"/>
      <c r="G438" s="267">
        <f>G437*2</f>
        <v>12000</v>
      </c>
      <c r="H438" s="267">
        <f>G438*I7</f>
        <v>1014000</v>
      </c>
      <c r="I438" s="377"/>
      <c r="J438" s="373"/>
    </row>
    <row r="439" spans="2:10" s="79" customFormat="1">
      <c r="C439" s="258" t="s">
        <v>867</v>
      </c>
      <c r="D439" s="82"/>
      <c r="E439" s="82"/>
      <c r="F439" s="82"/>
      <c r="G439" s="267">
        <f>(G438+G426)*25%</f>
        <v>4500</v>
      </c>
      <c r="H439" s="267">
        <f>G439*I7</f>
        <v>380250</v>
      </c>
      <c r="I439" s="377"/>
    </row>
    <row r="440" spans="2:10" s="79" customFormat="1">
      <c r="C440" s="75" t="s">
        <v>963</v>
      </c>
      <c r="D440" s="82"/>
      <c r="E440" s="82"/>
      <c r="F440" s="210"/>
      <c r="G440" s="267">
        <f>(G426+G438+G439)*1.05</f>
        <v>23625</v>
      </c>
      <c r="H440" s="267">
        <f>G440*I7</f>
        <v>1996312.5</v>
      </c>
      <c r="I440" s="377"/>
    </row>
    <row r="441" spans="2:10" s="79" customFormat="1">
      <c r="C441" s="420" t="s">
        <v>1129</v>
      </c>
      <c r="D441" s="261"/>
      <c r="E441" s="261"/>
      <c r="F441" s="421"/>
      <c r="G441" s="286">
        <f>G440*23</f>
        <v>543375</v>
      </c>
      <c r="H441" s="286">
        <f>G441*I7</f>
        <v>45915187.5</v>
      </c>
      <c r="I441" s="422"/>
    </row>
    <row r="442" spans="2:10" ht="15.75" thickBot="1">
      <c r="C442" s="771" t="s">
        <v>1051</v>
      </c>
      <c r="D442" s="772"/>
      <c r="E442" s="772"/>
      <c r="F442" s="772"/>
      <c r="G442" s="772"/>
      <c r="H442" s="772"/>
      <c r="I442" s="773"/>
    </row>
    <row r="444" spans="2:10" ht="15.75" thickBot="1"/>
    <row r="445" spans="2:10" s="374" customFormat="1" ht="24" customHeight="1">
      <c r="B445" s="393" t="str">
        <f>'Costed Impl plan'!B61</f>
        <v>1.3.5</v>
      </c>
      <c r="C445" s="704" t="str">
        <f>'Costed Impl plan'!C61</f>
        <v>School based LSE session ( formal and non-formal set up)</v>
      </c>
      <c r="D445" s="705"/>
      <c r="E445" s="705"/>
      <c r="F445" s="705"/>
      <c r="G445" s="705"/>
      <c r="H445" s="705"/>
      <c r="I445" s="706"/>
    </row>
    <row r="446" spans="2:10" ht="27" customHeight="1">
      <c r="C446" s="707" t="s">
        <v>970</v>
      </c>
      <c r="D446" s="708"/>
      <c r="E446" s="708"/>
      <c r="F446" s="708"/>
      <c r="G446" s="708"/>
      <c r="H446" s="708"/>
      <c r="I446" s="709"/>
    </row>
    <row r="447" spans="2:10" ht="31.5" customHeight="1">
      <c r="C447" s="131" t="s">
        <v>452</v>
      </c>
      <c r="D447" s="113" t="s">
        <v>703</v>
      </c>
      <c r="E447" s="113" t="s">
        <v>453</v>
      </c>
      <c r="F447" s="113" t="s">
        <v>935</v>
      </c>
      <c r="G447" s="270" t="s">
        <v>932</v>
      </c>
      <c r="H447" s="270" t="s">
        <v>933</v>
      </c>
      <c r="I447" s="375" t="s">
        <v>651</v>
      </c>
    </row>
    <row r="448" spans="2:10">
      <c r="C448" s="77" t="s">
        <v>971</v>
      </c>
      <c r="D448" s="74" t="s">
        <v>966</v>
      </c>
      <c r="E448" s="277">
        <f>19000*5*20</f>
        <v>1900000</v>
      </c>
      <c r="F448" s="156">
        <f>11.86/77</f>
        <v>0.15402597402597401</v>
      </c>
      <c r="G448" s="277">
        <f>E448*F448</f>
        <v>292649.35064935061</v>
      </c>
      <c r="H448" s="277">
        <f>G448*I7</f>
        <v>24728870.129870128</v>
      </c>
      <c r="I448" s="376"/>
    </row>
    <row r="449" spans="2:9">
      <c r="C449" s="77" t="s">
        <v>972</v>
      </c>
      <c r="D449" s="74" t="str">
        <f>D448</f>
        <v xml:space="preserve">per year cost </v>
      </c>
      <c r="E449" s="164">
        <v>25000</v>
      </c>
      <c r="F449" s="156">
        <f>11.86/77</f>
        <v>0.15402597402597401</v>
      </c>
      <c r="G449" s="164">
        <f>E449*F449</f>
        <v>3850.6493506493503</v>
      </c>
      <c r="H449" s="277">
        <f>G449*I7</f>
        <v>325379.87012987008</v>
      </c>
      <c r="I449" s="376"/>
    </row>
    <row r="450" spans="2:9" s="79" customFormat="1">
      <c r="C450" s="258" t="s">
        <v>867</v>
      </c>
      <c r="D450" s="82"/>
      <c r="E450" s="82"/>
      <c r="F450" s="82"/>
      <c r="G450" s="267">
        <f>(G449+G448)*25%</f>
        <v>74124.999999999985</v>
      </c>
      <c r="H450" s="277">
        <f>G450*I7</f>
        <v>6263562.4999999991</v>
      </c>
      <c r="I450" s="377"/>
    </row>
    <row r="451" spans="2:9" s="79" customFormat="1">
      <c r="C451" s="75" t="s">
        <v>973</v>
      </c>
      <c r="D451" s="82"/>
      <c r="E451" s="82"/>
      <c r="F451" s="210"/>
      <c r="G451" s="267">
        <f>(G448+G449+G450)*1.05</f>
        <v>389156.24999999994</v>
      </c>
      <c r="H451" s="277">
        <f>G451*I7</f>
        <v>32883703.124999996</v>
      </c>
      <c r="I451" s="377"/>
    </row>
    <row r="452" spans="2:9" ht="15.75" thickBot="1">
      <c r="C452" s="710" t="s">
        <v>1031</v>
      </c>
      <c r="D452" s="711"/>
      <c r="E452" s="711"/>
      <c r="F452" s="711"/>
      <c r="G452" s="711"/>
      <c r="H452" s="711"/>
      <c r="I452" s="712"/>
    </row>
    <row r="455" spans="2:9" ht="15.75" thickBot="1"/>
    <row r="456" spans="2:9" s="171" customFormat="1" ht="15" customHeight="1">
      <c r="B456" s="170" t="str">
        <f>'Costed Impl plan'!B65</f>
        <v>1.4.1.1</v>
      </c>
      <c r="C456" s="796" t="str">
        <f>'Costed Impl plan'!C65</f>
        <v>Revision/adapation and printing of guidelines for HTC</v>
      </c>
      <c r="D456" s="797"/>
      <c r="E456" s="797"/>
      <c r="F456" s="797"/>
      <c r="G456" s="797"/>
      <c r="H456" s="797"/>
      <c r="I456" s="798"/>
    </row>
    <row r="457" spans="2:9" s="171" customFormat="1" ht="30">
      <c r="B457" s="170"/>
      <c r="C457" s="415" t="s">
        <v>446</v>
      </c>
      <c r="D457" s="387"/>
      <c r="E457" s="152"/>
      <c r="F457" s="190" t="s">
        <v>935</v>
      </c>
      <c r="G457" s="293" t="s">
        <v>932</v>
      </c>
      <c r="H457" s="293" t="s">
        <v>933</v>
      </c>
      <c r="I457" s="388" t="s">
        <v>447</v>
      </c>
    </row>
    <row r="458" spans="2:9" s="171" customFormat="1">
      <c r="B458" s="170"/>
      <c r="C458" s="91" t="s">
        <v>805</v>
      </c>
      <c r="D458" s="152"/>
      <c r="E458" s="152"/>
      <c r="F458" s="152"/>
      <c r="G458" s="279"/>
      <c r="H458" s="279"/>
      <c r="I458" s="388"/>
    </row>
    <row r="459" spans="2:9" s="171" customFormat="1">
      <c r="B459" s="170"/>
      <c r="C459" s="381" t="s">
        <v>714</v>
      </c>
      <c r="D459" s="152" t="s">
        <v>706</v>
      </c>
      <c r="E459" s="152">
        <v>40</v>
      </c>
      <c r="F459" s="152">
        <f>275</f>
        <v>275</v>
      </c>
      <c r="G459" s="279">
        <v>5000</v>
      </c>
      <c r="H459" s="279">
        <f>G459*I7</f>
        <v>422500</v>
      </c>
      <c r="I459" s="388"/>
    </row>
    <row r="460" spans="2:9" s="171" customFormat="1">
      <c r="B460" s="170"/>
      <c r="C460" s="381" t="s">
        <v>707</v>
      </c>
      <c r="D460" s="152" t="s">
        <v>708</v>
      </c>
      <c r="E460" s="152">
        <v>5</v>
      </c>
      <c r="F460" s="152">
        <f>1500/80</f>
        <v>18.75</v>
      </c>
      <c r="G460" s="279">
        <f>E460*F460</f>
        <v>93.75</v>
      </c>
      <c r="H460" s="279">
        <f>G460*I7</f>
        <v>7921.875</v>
      </c>
      <c r="I460" s="388"/>
    </row>
    <row r="461" spans="2:9" s="170" customFormat="1">
      <c r="C461" s="382" t="s">
        <v>715</v>
      </c>
      <c r="D461" s="87"/>
      <c r="E461" s="87"/>
      <c r="F461" s="87"/>
      <c r="G461" s="206">
        <f>SUM(G459:G460)</f>
        <v>5093.75</v>
      </c>
      <c r="H461" s="206">
        <f>G461*I7</f>
        <v>430421.875</v>
      </c>
      <c r="I461" s="390"/>
    </row>
    <row r="462" spans="2:9" s="170" customFormat="1">
      <c r="C462" s="383" t="s">
        <v>912</v>
      </c>
      <c r="D462" s="391"/>
      <c r="E462" s="87">
        <v>3500</v>
      </c>
      <c r="F462" s="87">
        <v>7.5</v>
      </c>
      <c r="G462" s="206">
        <v>5000</v>
      </c>
      <c r="H462" s="206">
        <f>G462*I7</f>
        <v>422500</v>
      </c>
      <c r="I462" s="390"/>
    </row>
    <row r="463" spans="2:9" s="170" customFormat="1">
      <c r="C463" s="384" t="s">
        <v>867</v>
      </c>
      <c r="D463" s="385"/>
      <c r="E463" s="385"/>
      <c r="F463" s="386">
        <v>0.25</v>
      </c>
      <c r="G463" s="206">
        <f>SUM(G461:G462)*25%</f>
        <v>2523.4375</v>
      </c>
      <c r="H463" s="206">
        <f>G463*I7</f>
        <v>213230.46875</v>
      </c>
      <c r="I463" s="390"/>
    </row>
    <row r="464" spans="2:9" s="171" customFormat="1">
      <c r="B464" s="170"/>
      <c r="C464" s="91" t="s">
        <v>463</v>
      </c>
      <c r="D464" s="87"/>
      <c r="E464" s="152"/>
      <c r="F464" s="152"/>
      <c r="G464" s="206">
        <f>SUM(G461:G463)</f>
        <v>12617.1875</v>
      </c>
      <c r="H464" s="206">
        <f>G464*I7</f>
        <v>1066152.34375</v>
      </c>
      <c r="I464" s="388"/>
    </row>
    <row r="465" spans="2:9" s="171" customFormat="1" ht="15.75" customHeight="1" thickBot="1">
      <c r="B465" s="170"/>
      <c r="C465" s="710" t="s">
        <v>1031</v>
      </c>
      <c r="D465" s="711"/>
      <c r="E465" s="711"/>
      <c r="F465" s="711"/>
      <c r="G465" s="711"/>
      <c r="H465" s="711"/>
      <c r="I465" s="712"/>
    </row>
    <row r="468" spans="2:9" ht="15.75" thickBot="1"/>
    <row r="469" spans="2:9">
      <c r="B469" s="79" t="str">
        <f>'Costed Impl plan'!B66</f>
        <v>1.4.1.2</v>
      </c>
      <c r="C469" s="808" t="str">
        <f>'Costed Impl plan'!C66</f>
        <v>Establish HTC services in public hospitals at district level</v>
      </c>
      <c r="D469" s="809"/>
      <c r="E469" s="809"/>
      <c r="F469" s="809"/>
      <c r="G469" s="809"/>
      <c r="H469" s="809"/>
      <c r="I469" s="810"/>
    </row>
    <row r="470" spans="2:9" ht="30">
      <c r="C470" s="131" t="s">
        <v>452</v>
      </c>
      <c r="D470" s="113" t="s">
        <v>703</v>
      </c>
      <c r="E470" s="113" t="s">
        <v>453</v>
      </c>
      <c r="F470" s="113" t="s">
        <v>935</v>
      </c>
      <c r="G470" s="270" t="s">
        <v>932</v>
      </c>
      <c r="H470" s="270" t="s">
        <v>933</v>
      </c>
      <c r="I470" s="375" t="s">
        <v>651</v>
      </c>
    </row>
    <row r="471" spans="2:9">
      <c r="C471" s="68" t="s">
        <v>878</v>
      </c>
      <c r="D471" s="98"/>
      <c r="E471" s="98"/>
      <c r="F471" s="98"/>
      <c r="G471" s="275">
        <v>5000</v>
      </c>
      <c r="H471" s="275">
        <f>G471*I7</f>
        <v>422500</v>
      </c>
      <c r="I471" s="376"/>
    </row>
    <row r="472" spans="2:9" ht="15.75" thickBot="1">
      <c r="C472" s="771" t="s">
        <v>1051</v>
      </c>
      <c r="D472" s="772"/>
      <c r="E472" s="772"/>
      <c r="F472" s="772"/>
      <c r="G472" s="772"/>
      <c r="H472" s="772"/>
      <c r="I472" s="773"/>
    </row>
    <row r="473" spans="2:9">
      <c r="C473" s="99"/>
      <c r="D473" s="100"/>
      <c r="E473" s="100"/>
      <c r="F473" s="100"/>
      <c r="G473" s="276"/>
      <c r="H473" s="276"/>
    </row>
    <row r="474" spans="2:9" ht="15.75" thickBot="1">
      <c r="C474" s="146"/>
      <c r="D474" s="147"/>
      <c r="E474" s="147"/>
      <c r="F474" s="147"/>
      <c r="G474" s="268"/>
      <c r="H474" s="268"/>
    </row>
    <row r="475" spans="2:9" ht="18" customHeight="1">
      <c r="B475" s="79" t="str">
        <f>'Costed Impl plan'!B67</f>
        <v>1.4.1.3</v>
      </c>
      <c r="C475" s="808" t="str">
        <f>'Costed Impl plan'!C67</f>
        <v>Continue HTC services in public hospitals at district level</v>
      </c>
      <c r="D475" s="809"/>
      <c r="E475" s="809"/>
      <c r="F475" s="809"/>
      <c r="G475" s="809"/>
      <c r="H475" s="809"/>
      <c r="I475" s="810"/>
    </row>
    <row r="476" spans="2:9" ht="30">
      <c r="C476" s="131" t="s">
        <v>452</v>
      </c>
      <c r="D476" s="113" t="s">
        <v>703</v>
      </c>
      <c r="E476" s="113" t="s">
        <v>453</v>
      </c>
      <c r="F476" s="113" t="s">
        <v>935</v>
      </c>
      <c r="G476" s="270" t="s">
        <v>932</v>
      </c>
      <c r="H476" s="270" t="s">
        <v>933</v>
      </c>
      <c r="I476" s="375" t="s">
        <v>651</v>
      </c>
    </row>
    <row r="477" spans="2:9">
      <c r="C477" s="101" t="s">
        <v>661</v>
      </c>
      <c r="D477" s="126"/>
      <c r="E477" s="74"/>
      <c r="F477" s="74"/>
      <c r="G477" s="267"/>
      <c r="H477" s="267"/>
      <c r="I477" s="376"/>
    </row>
    <row r="478" spans="2:9" ht="30">
      <c r="C478" s="102" t="s">
        <v>558</v>
      </c>
      <c r="D478" s="103" t="s">
        <v>694</v>
      </c>
      <c r="E478" s="74">
        <v>1</v>
      </c>
      <c r="F478" s="69">
        <v>494</v>
      </c>
      <c r="G478" s="164">
        <v>340</v>
      </c>
      <c r="H478" s="164">
        <f>G478*I7</f>
        <v>28730</v>
      </c>
      <c r="I478" s="376"/>
    </row>
    <row r="479" spans="2:9" ht="30">
      <c r="C479" s="102" t="s">
        <v>692</v>
      </c>
      <c r="D479" s="103" t="s">
        <v>694</v>
      </c>
      <c r="E479" s="74">
        <v>1</v>
      </c>
      <c r="F479" s="69">
        <v>494</v>
      </c>
      <c r="G479" s="164">
        <v>320</v>
      </c>
      <c r="H479" s="164">
        <f>G479*I7</f>
        <v>27040</v>
      </c>
      <c r="I479" s="376"/>
    </row>
    <row r="480" spans="2:9" s="79" customFormat="1">
      <c r="C480" s="77" t="s">
        <v>864</v>
      </c>
      <c r="D480" s="82"/>
      <c r="E480" s="82"/>
      <c r="F480" s="82"/>
      <c r="G480" s="267">
        <f>SUM(G478:G479)</f>
        <v>660</v>
      </c>
      <c r="H480" s="267">
        <f>G480*I7</f>
        <v>55770</v>
      </c>
      <c r="I480" s="445"/>
    </row>
    <row r="481" spans="3:9">
      <c r="C481" s="101" t="s">
        <v>675</v>
      </c>
      <c r="D481" s="126"/>
      <c r="E481" s="74"/>
      <c r="F481" s="74"/>
      <c r="G481" s="164"/>
      <c r="H481" s="164">
        <f>G481*I7</f>
        <v>0</v>
      </c>
      <c r="I481" s="376"/>
    </row>
    <row r="482" spans="3:9">
      <c r="C482" s="105" t="s">
        <v>676</v>
      </c>
      <c r="D482" s="74" t="s">
        <v>693</v>
      </c>
      <c r="E482" s="74">
        <v>100</v>
      </c>
      <c r="F482" s="160">
        <v>0.20624999999999999</v>
      </c>
      <c r="G482" s="164">
        <v>10</v>
      </c>
      <c r="H482" s="164">
        <f>G482*I7</f>
        <v>845</v>
      </c>
      <c r="I482" s="376"/>
    </row>
    <row r="483" spans="3:9">
      <c r="C483" s="105" t="s">
        <v>677</v>
      </c>
      <c r="D483" s="74" t="s">
        <v>693</v>
      </c>
      <c r="E483" s="74">
        <v>100</v>
      </c>
      <c r="F483" s="160">
        <v>6.25E-2</v>
      </c>
      <c r="G483" s="164">
        <f t="shared" ref="G483:G498" si="5">E483*F483</f>
        <v>6.25</v>
      </c>
      <c r="H483" s="164">
        <f>G483*I7</f>
        <v>528.125</v>
      </c>
      <c r="I483" s="376"/>
    </row>
    <row r="484" spans="3:9">
      <c r="C484" s="105" t="s">
        <v>678</v>
      </c>
      <c r="D484" s="74" t="s">
        <v>693</v>
      </c>
      <c r="E484" s="74">
        <v>100</v>
      </c>
      <c r="F484" s="160">
        <v>1.8749999999999999E-2</v>
      </c>
      <c r="G484" s="164">
        <f t="shared" si="5"/>
        <v>1.875</v>
      </c>
      <c r="H484" s="164">
        <f>G484*I7</f>
        <v>158.4375</v>
      </c>
      <c r="I484" s="376"/>
    </row>
    <row r="485" spans="3:9">
      <c r="C485" s="105" t="s">
        <v>679</v>
      </c>
      <c r="D485" s="74" t="s">
        <v>693</v>
      </c>
      <c r="E485" s="74">
        <v>200</v>
      </c>
      <c r="F485" s="160">
        <v>0.01</v>
      </c>
      <c r="G485" s="164">
        <f t="shared" si="5"/>
        <v>2</v>
      </c>
      <c r="H485" s="164">
        <f>G485*I7</f>
        <v>169</v>
      </c>
      <c r="I485" s="376"/>
    </row>
    <row r="486" spans="3:9">
      <c r="C486" s="105" t="s">
        <v>680</v>
      </c>
      <c r="D486" s="74" t="s">
        <v>693</v>
      </c>
      <c r="E486" s="74">
        <v>200</v>
      </c>
      <c r="F486" s="160">
        <v>0.01</v>
      </c>
      <c r="G486" s="164">
        <f t="shared" si="5"/>
        <v>2</v>
      </c>
      <c r="H486" s="164">
        <f>G486*I7</f>
        <v>169</v>
      </c>
      <c r="I486" s="376"/>
    </row>
    <row r="487" spans="3:9">
      <c r="C487" s="105" t="s">
        <v>681</v>
      </c>
      <c r="D487" s="74" t="s">
        <v>693</v>
      </c>
      <c r="E487" s="74">
        <v>1</v>
      </c>
      <c r="F487" s="160">
        <v>0.8125</v>
      </c>
      <c r="G487" s="164">
        <f t="shared" si="5"/>
        <v>0.8125</v>
      </c>
      <c r="H487" s="164">
        <f>G487*I7</f>
        <v>68.65625</v>
      </c>
      <c r="I487" s="376"/>
    </row>
    <row r="488" spans="3:9">
      <c r="C488" s="105" t="s">
        <v>682</v>
      </c>
      <c r="D488" s="74" t="s">
        <v>693</v>
      </c>
      <c r="E488" s="74">
        <v>200</v>
      </c>
      <c r="F488" s="160">
        <v>6.25E-2</v>
      </c>
      <c r="G488" s="164">
        <f t="shared" si="5"/>
        <v>12.5</v>
      </c>
      <c r="H488" s="164">
        <f>G488*I7</f>
        <v>1056.25</v>
      </c>
      <c r="I488" s="376"/>
    </row>
    <row r="489" spans="3:9">
      <c r="C489" s="105" t="s">
        <v>683</v>
      </c>
      <c r="D489" s="74" t="s">
        <v>693</v>
      </c>
      <c r="E489" s="74">
        <v>2</v>
      </c>
      <c r="F489" s="160">
        <v>4</v>
      </c>
      <c r="G489" s="164">
        <f t="shared" si="5"/>
        <v>8</v>
      </c>
      <c r="H489" s="164">
        <f>G489*I7</f>
        <v>676</v>
      </c>
      <c r="I489" s="376"/>
    </row>
    <row r="490" spans="3:9">
      <c r="C490" s="105" t="s">
        <v>684</v>
      </c>
      <c r="D490" s="74" t="s">
        <v>693</v>
      </c>
      <c r="E490" s="74">
        <v>2</v>
      </c>
      <c r="F490" s="160">
        <v>1.875</v>
      </c>
      <c r="G490" s="164">
        <f t="shared" si="5"/>
        <v>3.75</v>
      </c>
      <c r="H490" s="164">
        <f>G490*I7</f>
        <v>316.875</v>
      </c>
      <c r="I490" s="376"/>
    </row>
    <row r="491" spans="3:9">
      <c r="C491" s="105" t="s">
        <v>685</v>
      </c>
      <c r="D491" s="74" t="s">
        <v>693</v>
      </c>
      <c r="E491" s="74">
        <v>1</v>
      </c>
      <c r="F491" s="160">
        <v>0.66249999999999998</v>
      </c>
      <c r="G491" s="164">
        <f t="shared" si="5"/>
        <v>0.66249999999999998</v>
      </c>
      <c r="H491" s="164">
        <f>G491*I7</f>
        <v>55.981249999999996</v>
      </c>
      <c r="I491" s="376"/>
    </row>
    <row r="492" spans="3:9">
      <c r="C492" s="105" t="s">
        <v>686</v>
      </c>
      <c r="D492" s="74" t="s">
        <v>693</v>
      </c>
      <c r="E492" s="74">
        <v>2</v>
      </c>
      <c r="F492" s="160">
        <v>0.78749999999999998</v>
      </c>
      <c r="G492" s="164">
        <f t="shared" si="5"/>
        <v>1.575</v>
      </c>
      <c r="H492" s="164">
        <f>G492*I7</f>
        <v>133.08750000000001</v>
      </c>
      <c r="I492" s="376"/>
    </row>
    <row r="493" spans="3:9">
      <c r="C493" s="105" t="s">
        <v>687</v>
      </c>
      <c r="D493" s="74" t="s">
        <v>693</v>
      </c>
      <c r="E493" s="74">
        <v>1</v>
      </c>
      <c r="F493" s="160">
        <v>2.1875</v>
      </c>
      <c r="G493" s="164">
        <f t="shared" si="5"/>
        <v>2.1875</v>
      </c>
      <c r="H493" s="164">
        <f>G493*I7</f>
        <v>184.84375</v>
      </c>
      <c r="I493" s="376"/>
    </row>
    <row r="494" spans="3:9">
      <c r="C494" s="105" t="s">
        <v>688</v>
      </c>
      <c r="D494" s="74" t="s">
        <v>693</v>
      </c>
      <c r="E494" s="74">
        <v>1</v>
      </c>
      <c r="F494" s="160">
        <v>1.0625</v>
      </c>
      <c r="G494" s="164">
        <f t="shared" si="5"/>
        <v>1.0625</v>
      </c>
      <c r="H494" s="164">
        <f>G494*I7</f>
        <v>89.78125</v>
      </c>
      <c r="I494" s="376"/>
    </row>
    <row r="495" spans="3:9">
      <c r="C495" s="105" t="s">
        <v>689</v>
      </c>
      <c r="D495" s="74" t="s">
        <v>693</v>
      </c>
      <c r="E495" s="74">
        <v>1</v>
      </c>
      <c r="F495" s="160">
        <v>1.125</v>
      </c>
      <c r="G495" s="164">
        <f t="shared" si="5"/>
        <v>1.125</v>
      </c>
      <c r="H495" s="164">
        <f>G495*I7</f>
        <v>95.0625</v>
      </c>
      <c r="I495" s="376"/>
    </row>
    <row r="496" spans="3:9">
      <c r="C496" s="105" t="s">
        <v>690</v>
      </c>
      <c r="D496" s="74" t="s">
        <v>693</v>
      </c>
      <c r="E496" s="74">
        <v>6</v>
      </c>
      <c r="F496" s="160">
        <v>0.25</v>
      </c>
      <c r="G496" s="164">
        <f t="shared" si="5"/>
        <v>1.5</v>
      </c>
      <c r="H496" s="164">
        <f>G496*I7</f>
        <v>126.75</v>
      </c>
      <c r="I496" s="376"/>
    </row>
    <row r="497" spans="3:9">
      <c r="C497" s="105" t="s">
        <v>596</v>
      </c>
      <c r="D497" s="74" t="s">
        <v>693</v>
      </c>
      <c r="E497" s="74">
        <v>1</v>
      </c>
      <c r="F497" s="160">
        <v>5.25</v>
      </c>
      <c r="G497" s="164">
        <f t="shared" si="5"/>
        <v>5.25</v>
      </c>
      <c r="H497" s="164">
        <f>G497*I7</f>
        <v>443.625</v>
      </c>
      <c r="I497" s="376"/>
    </row>
    <row r="498" spans="3:9">
      <c r="C498" s="105" t="s">
        <v>691</v>
      </c>
      <c r="D498" s="74" t="s">
        <v>693</v>
      </c>
      <c r="E498" s="74">
        <v>100</v>
      </c>
      <c r="F498" s="160">
        <v>1.2500000000000001E-2</v>
      </c>
      <c r="G498" s="164">
        <f t="shared" si="5"/>
        <v>1.25</v>
      </c>
      <c r="H498" s="164">
        <f>G498*I7</f>
        <v>105.625</v>
      </c>
      <c r="I498" s="376"/>
    </row>
    <row r="499" spans="3:9">
      <c r="C499" s="75" t="s">
        <v>695</v>
      </c>
      <c r="D499" s="82"/>
      <c r="E499" s="74"/>
      <c r="F499" s="74"/>
      <c r="G499" s="267">
        <f>SUM(G482:G498)</f>
        <v>61.800000000000004</v>
      </c>
      <c r="H499" s="267">
        <f>G499*I7</f>
        <v>5222.1000000000004</v>
      </c>
      <c r="I499" s="376"/>
    </row>
    <row r="500" spans="3:9">
      <c r="C500" s="142" t="s">
        <v>698</v>
      </c>
      <c r="D500" s="82"/>
      <c r="E500" s="74"/>
      <c r="F500" s="74"/>
      <c r="G500" s="164"/>
      <c r="H500" s="164">
        <f>G500*I7</f>
        <v>0</v>
      </c>
      <c r="I500" s="376"/>
    </row>
    <row r="501" spans="3:9" ht="25.15" customHeight="1">
      <c r="C501" s="143" t="s">
        <v>697</v>
      </c>
      <c r="D501" s="74" t="s">
        <v>696</v>
      </c>
      <c r="E501" s="74">
        <v>10</v>
      </c>
      <c r="F501" s="144">
        <v>35</v>
      </c>
      <c r="G501" s="164">
        <f>E501*F501</f>
        <v>350</v>
      </c>
      <c r="H501" s="164">
        <f>G501*I7</f>
        <v>29575</v>
      </c>
      <c r="I501" s="709" t="s">
        <v>702</v>
      </c>
    </row>
    <row r="502" spans="3:9" s="79" customFormat="1" ht="27" customHeight="1">
      <c r="C502" s="75" t="s">
        <v>699</v>
      </c>
      <c r="D502" s="82"/>
      <c r="E502" s="82"/>
      <c r="F502" s="82"/>
      <c r="G502" s="267">
        <f>G501</f>
        <v>350</v>
      </c>
      <c r="H502" s="267">
        <f>G502*I7</f>
        <v>29575</v>
      </c>
      <c r="I502" s="709"/>
    </row>
    <row r="503" spans="3:9">
      <c r="C503" s="145" t="s">
        <v>700</v>
      </c>
      <c r="D503" s="74"/>
      <c r="E503" s="74"/>
      <c r="F503" s="74"/>
      <c r="G503" s="164"/>
      <c r="H503" s="164">
        <f>G503*I7</f>
        <v>0</v>
      </c>
      <c r="I503" s="376"/>
    </row>
    <row r="504" spans="3:9">
      <c r="C504" s="77"/>
      <c r="D504" s="74" t="s">
        <v>696</v>
      </c>
      <c r="E504" s="74"/>
      <c r="F504" s="160"/>
      <c r="G504" s="164">
        <f>E504*F504</f>
        <v>0</v>
      </c>
      <c r="H504" s="164">
        <f>G504*I7</f>
        <v>0</v>
      </c>
      <c r="I504" s="376"/>
    </row>
    <row r="505" spans="3:9">
      <c r="C505" s="75" t="s">
        <v>701</v>
      </c>
      <c r="D505" s="82"/>
      <c r="E505" s="74"/>
      <c r="F505" s="74"/>
      <c r="G505" s="267">
        <f>G504</f>
        <v>0</v>
      </c>
      <c r="H505" s="267">
        <f>G505*I7</f>
        <v>0</v>
      </c>
      <c r="I505" s="376"/>
    </row>
    <row r="506" spans="3:9">
      <c r="C506" s="77" t="s">
        <v>866</v>
      </c>
      <c r="D506" s="82"/>
      <c r="E506" s="74"/>
      <c r="F506" s="74"/>
      <c r="G506" s="267">
        <f>G505+G502+G499+G480</f>
        <v>1071.8</v>
      </c>
      <c r="H506" s="267">
        <f>G506*I7</f>
        <v>90567.099999999991</v>
      </c>
      <c r="I506" s="376"/>
    </row>
    <row r="507" spans="3:9">
      <c r="C507" s="77" t="s">
        <v>865</v>
      </c>
      <c r="D507" s="82"/>
      <c r="E507" s="74"/>
      <c r="F507" s="74"/>
      <c r="G507" s="267">
        <f>G506*12</f>
        <v>12861.599999999999</v>
      </c>
      <c r="H507" s="267">
        <f>G507*I7</f>
        <v>1086805.2</v>
      </c>
      <c r="I507" s="376"/>
    </row>
    <row r="508" spans="3:9" ht="15.75" thickBot="1">
      <c r="C508" s="710" t="s">
        <v>1031</v>
      </c>
      <c r="D508" s="711"/>
      <c r="E508" s="711"/>
      <c r="F508" s="711"/>
      <c r="G508" s="711"/>
      <c r="H508" s="711"/>
      <c r="I508" s="712"/>
    </row>
    <row r="510" spans="3:9" ht="15.75" thickBot="1">
      <c r="C510" s="86"/>
      <c r="D510" s="124"/>
      <c r="E510" s="138"/>
      <c r="F510" s="138"/>
      <c r="G510" s="269"/>
      <c r="H510" s="269"/>
    </row>
    <row r="511" spans="3:9">
      <c r="C511" s="745" t="s">
        <v>995</v>
      </c>
      <c r="D511" s="746"/>
      <c r="E511" s="746"/>
      <c r="F511" s="746"/>
      <c r="G511" s="746"/>
      <c r="H511" s="486"/>
      <c r="I511" s="379" t="s">
        <v>651</v>
      </c>
    </row>
    <row r="512" spans="3:9" ht="15" customHeight="1">
      <c r="C512" s="739"/>
      <c r="D512" s="740"/>
      <c r="E512" s="740"/>
      <c r="F512" s="740"/>
      <c r="G512" s="98" t="s">
        <v>384</v>
      </c>
      <c r="H512" s="98" t="s">
        <v>931</v>
      </c>
      <c r="I512" s="376"/>
    </row>
    <row r="513" spans="2:9">
      <c r="C513" s="77" t="s">
        <v>406</v>
      </c>
      <c r="D513" s="82"/>
      <c r="E513" s="74"/>
      <c r="F513" s="74"/>
      <c r="G513" s="297">
        <v>4</v>
      </c>
      <c r="H513" s="206">
        <f>G513*I7</f>
        <v>338</v>
      </c>
      <c r="I513" s="376"/>
    </row>
    <row r="514" spans="2:9" ht="15.75" thickBot="1">
      <c r="C514" s="771" t="s">
        <v>1052</v>
      </c>
      <c r="D514" s="772"/>
      <c r="E514" s="772"/>
      <c r="F514" s="772"/>
      <c r="G514" s="772"/>
      <c r="H514" s="772"/>
      <c r="I514" s="773"/>
    </row>
    <row r="515" spans="2:9">
      <c r="C515" s="86"/>
      <c r="D515" s="124"/>
      <c r="E515" s="138"/>
      <c r="F515" s="138"/>
      <c r="G515" s="269"/>
      <c r="H515" s="269"/>
    </row>
    <row r="517" spans="2:9">
      <c r="C517" s="79" t="s">
        <v>1013</v>
      </c>
      <c r="D517" s="95"/>
      <c r="E517" s="95"/>
      <c r="F517" s="95"/>
      <c r="G517" s="228"/>
      <c r="H517" s="228"/>
    </row>
    <row r="518" spans="2:9" ht="15.75" thickBot="1">
      <c r="C518" s="79"/>
      <c r="D518" s="95"/>
      <c r="E518" s="95"/>
      <c r="F518" s="95"/>
      <c r="G518" s="228"/>
      <c r="H518" s="228"/>
    </row>
    <row r="519" spans="2:9" ht="15" customHeight="1">
      <c r="B519" s="79" t="str">
        <f>'Costed Impl plan'!B70</f>
        <v>1.4.2.1</v>
      </c>
      <c r="C519" s="704" t="s">
        <v>30</v>
      </c>
      <c r="D519" s="705"/>
      <c r="E519" s="705"/>
      <c r="F519" s="705"/>
      <c r="G519" s="705"/>
      <c r="H519" s="705"/>
      <c r="I519" s="706"/>
    </row>
    <row r="520" spans="2:9">
      <c r="C520" s="72" t="s">
        <v>451</v>
      </c>
      <c r="D520" s="74"/>
      <c r="E520" s="74"/>
      <c r="F520" s="74"/>
      <c r="G520" s="164"/>
      <c r="H520" s="164"/>
      <c r="I520" s="376"/>
    </row>
    <row r="521" spans="2:9" s="95" customFormat="1" ht="27.75" customHeight="1">
      <c r="C521" s="131" t="s">
        <v>452</v>
      </c>
      <c r="D521" s="113" t="s">
        <v>703</v>
      </c>
      <c r="E521" s="113" t="s">
        <v>453</v>
      </c>
      <c r="F521" s="113" t="s">
        <v>935</v>
      </c>
      <c r="G521" s="270" t="s">
        <v>932</v>
      </c>
      <c r="H521" s="270" t="s">
        <v>933</v>
      </c>
      <c r="I521" s="444" t="s">
        <v>651</v>
      </c>
    </row>
    <row r="522" spans="2:9">
      <c r="C522" s="72" t="s">
        <v>454</v>
      </c>
      <c r="D522" s="74" t="s">
        <v>704</v>
      </c>
      <c r="E522" s="106">
        <v>50</v>
      </c>
      <c r="F522" s="156">
        <v>3.6175781250000001</v>
      </c>
      <c r="G522" s="277">
        <f t="shared" ref="G522:G527" si="6">E522*F522</f>
        <v>180.87890625</v>
      </c>
      <c r="H522" s="277">
        <f>G522*I7</f>
        <v>15284.267578125</v>
      </c>
      <c r="I522" s="376"/>
    </row>
    <row r="523" spans="2:9">
      <c r="C523" s="72" t="s">
        <v>455</v>
      </c>
      <c r="D523" s="74" t="s">
        <v>704</v>
      </c>
      <c r="E523" s="106">
        <v>50</v>
      </c>
      <c r="F523" s="156">
        <v>7.2351562500000002</v>
      </c>
      <c r="G523" s="277">
        <f t="shared" si="6"/>
        <v>361.7578125</v>
      </c>
      <c r="H523" s="277">
        <f>G523*I7</f>
        <v>30568.53515625</v>
      </c>
      <c r="I523" s="376"/>
    </row>
    <row r="524" spans="2:9">
      <c r="C524" s="72" t="s">
        <v>456</v>
      </c>
      <c r="D524" s="74" t="s">
        <v>704</v>
      </c>
      <c r="E524" s="106">
        <v>50</v>
      </c>
      <c r="F524" s="156">
        <v>1.44703125</v>
      </c>
      <c r="G524" s="277">
        <f t="shared" si="6"/>
        <v>72.3515625</v>
      </c>
      <c r="H524" s="277">
        <f>G524*I7</f>
        <v>6113.70703125</v>
      </c>
      <c r="I524" s="376"/>
    </row>
    <row r="525" spans="2:9">
      <c r="C525" s="72" t="s">
        <v>457</v>
      </c>
      <c r="D525" s="74" t="s">
        <v>704</v>
      </c>
      <c r="E525" s="106">
        <v>50</v>
      </c>
      <c r="F525" s="156">
        <v>0.723515625</v>
      </c>
      <c r="G525" s="277">
        <f t="shared" si="6"/>
        <v>36.17578125</v>
      </c>
      <c r="H525" s="277">
        <f>G525*I7</f>
        <v>3056.853515625</v>
      </c>
      <c r="I525" s="376"/>
    </row>
    <row r="526" spans="2:9">
      <c r="C526" s="72" t="s">
        <v>458</v>
      </c>
      <c r="D526" s="74" t="s">
        <v>704</v>
      </c>
      <c r="E526" s="106">
        <v>50</v>
      </c>
      <c r="F526" s="156">
        <v>3.6175781250000001</v>
      </c>
      <c r="G526" s="277">
        <f t="shared" si="6"/>
        <v>180.87890625</v>
      </c>
      <c r="H526" s="277">
        <f>G526*I7</f>
        <v>15284.267578125</v>
      </c>
      <c r="I526" s="376"/>
    </row>
    <row r="527" spans="2:9">
      <c r="C527" s="72" t="s">
        <v>459</v>
      </c>
      <c r="D527" s="74" t="s">
        <v>704</v>
      </c>
      <c r="E527" s="106">
        <v>50</v>
      </c>
      <c r="F527" s="156">
        <v>0.723515625</v>
      </c>
      <c r="G527" s="277">
        <f t="shared" si="6"/>
        <v>36.17578125</v>
      </c>
      <c r="H527" s="277">
        <f>G527*I7</f>
        <v>3056.853515625</v>
      </c>
      <c r="I527" s="376"/>
    </row>
    <row r="528" spans="2:9">
      <c r="C528" s="407" t="s">
        <v>867</v>
      </c>
      <c r="D528" s="74"/>
      <c r="E528" s="106"/>
      <c r="F528" s="213"/>
      <c r="G528" s="277">
        <f>SUM(G522:G527)*25%</f>
        <v>217.0546875</v>
      </c>
      <c r="H528" s="277">
        <f>G528*I7</f>
        <v>18341.12109375</v>
      </c>
      <c r="I528" s="376"/>
    </row>
    <row r="529" spans="2:9">
      <c r="C529" s="77" t="s">
        <v>860</v>
      </c>
      <c r="D529" s="82"/>
      <c r="E529" s="74"/>
      <c r="F529" s="74"/>
      <c r="G529" s="267">
        <f>SUM(G522:G528)*1.05</f>
        <v>1139.537109375</v>
      </c>
      <c r="H529" s="267">
        <f>G529*I7</f>
        <v>96290.8857421875</v>
      </c>
      <c r="I529" s="376"/>
    </row>
    <row r="530" spans="2:9" ht="15.75" customHeight="1" thickBot="1">
      <c r="C530" s="710" t="s">
        <v>1031</v>
      </c>
      <c r="D530" s="711"/>
      <c r="E530" s="711"/>
      <c r="F530" s="711"/>
      <c r="G530" s="711"/>
      <c r="H530" s="711"/>
      <c r="I530" s="712"/>
    </row>
    <row r="532" spans="2:9" ht="15.75" thickBot="1"/>
    <row r="533" spans="2:9">
      <c r="B533" s="79" t="str">
        <f>'Costed Impl plan'!B71</f>
        <v>1.4.2.2</v>
      </c>
      <c r="C533" s="704" t="s">
        <v>33</v>
      </c>
      <c r="D533" s="705"/>
      <c r="E533" s="705"/>
      <c r="F533" s="705"/>
      <c r="G533" s="705"/>
      <c r="H533" s="705"/>
      <c r="I533" s="706"/>
    </row>
    <row r="534" spans="2:9" ht="55.15" customHeight="1">
      <c r="C534" s="707" t="s">
        <v>460</v>
      </c>
      <c r="D534" s="708"/>
      <c r="E534" s="708"/>
      <c r="F534" s="708"/>
      <c r="G534" s="708"/>
      <c r="H534" s="708"/>
      <c r="I534" s="709"/>
    </row>
    <row r="535" spans="2:9" ht="30">
      <c r="C535" s="131" t="s">
        <v>452</v>
      </c>
      <c r="D535" s="113" t="s">
        <v>703</v>
      </c>
      <c r="E535" s="113" t="s">
        <v>453</v>
      </c>
      <c r="F535" s="113" t="s">
        <v>935</v>
      </c>
      <c r="G535" s="270" t="s">
        <v>932</v>
      </c>
      <c r="H535" s="270" t="s">
        <v>933</v>
      </c>
      <c r="I535" s="375" t="s">
        <v>651</v>
      </c>
    </row>
    <row r="536" spans="2:9">
      <c r="C536" s="72" t="s">
        <v>409</v>
      </c>
      <c r="D536" s="74"/>
      <c r="E536" s="74"/>
      <c r="F536" s="74"/>
      <c r="G536" s="164"/>
      <c r="H536" s="164"/>
      <c r="I536" s="376"/>
    </row>
    <row r="537" spans="2:9">
      <c r="C537" s="72" t="s">
        <v>461</v>
      </c>
      <c r="D537" s="74"/>
      <c r="E537" s="74"/>
      <c r="F537" s="74"/>
      <c r="G537" s="164"/>
      <c r="H537" s="164"/>
      <c r="I537" s="376"/>
    </row>
    <row r="538" spans="2:9">
      <c r="C538" s="72" t="s">
        <v>462</v>
      </c>
      <c r="D538" s="74"/>
      <c r="E538" s="74"/>
      <c r="F538" s="74"/>
      <c r="G538" s="164"/>
      <c r="H538" s="164"/>
      <c r="I538" s="376"/>
    </row>
    <row r="539" spans="2:9">
      <c r="C539" s="72" t="s">
        <v>577</v>
      </c>
      <c r="D539" s="87"/>
      <c r="E539" s="152"/>
      <c r="F539" s="152"/>
      <c r="G539" s="206">
        <f>15000*1.3</f>
        <v>19500</v>
      </c>
      <c r="H539" s="206">
        <f>G539*I7</f>
        <v>1647750</v>
      </c>
      <c r="I539" s="376"/>
    </row>
    <row r="540" spans="2:9">
      <c r="C540" s="407" t="s">
        <v>867</v>
      </c>
      <c r="D540" s="87"/>
      <c r="E540" s="152"/>
      <c r="F540" s="215"/>
      <c r="G540" s="206">
        <f>G539*25%</f>
        <v>4875</v>
      </c>
      <c r="H540" s="206">
        <f>G540*I7</f>
        <v>411937.5</v>
      </c>
      <c r="I540" s="376"/>
    </row>
    <row r="541" spans="2:9">
      <c r="C541" s="76" t="s">
        <v>463</v>
      </c>
      <c r="D541" s="94"/>
      <c r="E541" s="132"/>
      <c r="F541" s="132"/>
      <c r="G541" s="273">
        <f>(G539+G540)*1.1</f>
        <v>26812.500000000004</v>
      </c>
      <c r="H541" s="273">
        <f>G541*I7</f>
        <v>2265656.2500000005</v>
      </c>
      <c r="I541" s="376"/>
    </row>
    <row r="542" spans="2:9" ht="21" customHeight="1" thickBot="1">
      <c r="C542" s="710" t="s">
        <v>1031</v>
      </c>
      <c r="D542" s="711"/>
      <c r="E542" s="711"/>
      <c r="F542" s="711"/>
      <c r="G542" s="711"/>
      <c r="H542" s="711"/>
      <c r="I542" s="712"/>
    </row>
    <row r="543" spans="2:9">
      <c r="C543" s="158"/>
      <c r="D543" s="159"/>
    </row>
    <row r="544" spans="2:9">
      <c r="C544" s="158"/>
      <c r="D544" s="159"/>
    </row>
    <row r="545" spans="2:14" ht="15.75" thickBot="1">
      <c r="C545" s="158"/>
      <c r="D545" s="159"/>
    </row>
    <row r="546" spans="2:14">
      <c r="B546" s="79" t="str">
        <f>'Costed Impl plan'!B72</f>
        <v>1.4.2.3</v>
      </c>
      <c r="C546" s="704" t="s">
        <v>36</v>
      </c>
      <c r="D546" s="705"/>
      <c r="E546" s="705"/>
      <c r="F546" s="705"/>
      <c r="G546" s="705"/>
      <c r="H546" s="705"/>
      <c r="I546" s="706"/>
    </row>
    <row r="547" spans="2:14" ht="30.75" customHeight="1">
      <c r="C547" s="728" t="s">
        <v>705</v>
      </c>
      <c r="D547" s="729"/>
      <c r="E547" s="729"/>
      <c r="F547" s="729"/>
      <c r="G547" s="729"/>
      <c r="H547" s="221"/>
      <c r="I547" s="376"/>
    </row>
    <row r="548" spans="2:14" ht="32.25" customHeight="1">
      <c r="C548" s="131" t="s">
        <v>452</v>
      </c>
      <c r="D548" s="113" t="s">
        <v>703</v>
      </c>
      <c r="E548" s="113" t="s">
        <v>453</v>
      </c>
      <c r="F548" s="113" t="s">
        <v>935</v>
      </c>
      <c r="G548" s="270" t="s">
        <v>932</v>
      </c>
      <c r="H548" s="270" t="s">
        <v>933</v>
      </c>
      <c r="I548" s="444" t="s">
        <v>651</v>
      </c>
    </row>
    <row r="549" spans="2:14" ht="15" customHeight="1">
      <c r="C549" s="407" t="s">
        <v>648</v>
      </c>
      <c r="D549" s="106"/>
      <c r="E549" s="106">
        <v>400</v>
      </c>
      <c r="F549" s="106">
        <v>50</v>
      </c>
      <c r="G549" s="277">
        <f>E549*F549</f>
        <v>20000</v>
      </c>
      <c r="H549" s="277">
        <f>G549*I7</f>
        <v>1690000</v>
      </c>
      <c r="I549" s="376"/>
    </row>
    <row r="550" spans="2:14">
      <c r="C550" s="407" t="s">
        <v>867</v>
      </c>
      <c r="D550" s="87"/>
      <c r="E550" s="152"/>
      <c r="F550" s="215">
        <v>0.25</v>
      </c>
      <c r="G550" s="206">
        <f>G549*F550</f>
        <v>5000</v>
      </c>
      <c r="H550" s="206">
        <f>G550*I7</f>
        <v>422500</v>
      </c>
      <c r="I550" s="376"/>
    </row>
    <row r="551" spans="2:14" ht="15.75" thickBot="1">
      <c r="C551" s="92" t="s">
        <v>463</v>
      </c>
      <c r="D551" s="93"/>
      <c r="E551" s="153"/>
      <c r="F551" s="153"/>
      <c r="G551" s="227">
        <f>(G549+G550)*1.1</f>
        <v>27500.000000000004</v>
      </c>
      <c r="H551" s="227">
        <f>G551*I7</f>
        <v>2323750.0000000005</v>
      </c>
      <c r="I551" s="432"/>
    </row>
    <row r="552" spans="2:14" ht="15.75" thickBot="1">
      <c r="C552" s="710" t="s">
        <v>1031</v>
      </c>
      <c r="D552" s="711"/>
      <c r="E552" s="711"/>
      <c r="F552" s="711"/>
      <c r="G552" s="711"/>
      <c r="H552" s="711"/>
      <c r="I552" s="712"/>
    </row>
    <row r="553" spans="2:14">
      <c r="C553" s="79"/>
      <c r="D553" s="95"/>
      <c r="G553" s="228"/>
      <c r="H553" s="228"/>
    </row>
    <row r="554" spans="2:14">
      <c r="C554" s="158"/>
      <c r="D554" s="159"/>
    </row>
    <row r="555" spans="2:14">
      <c r="C555" s="79" t="s">
        <v>1014</v>
      </c>
      <c r="D555" s="95"/>
      <c r="E555" s="95"/>
      <c r="F555" s="95"/>
      <c r="G555" s="228"/>
      <c r="H555" s="228"/>
      <c r="I555" s="79"/>
    </row>
    <row r="556" spans="2:14" ht="15.75" thickBot="1">
      <c r="C556" s="79"/>
      <c r="D556" s="95"/>
      <c r="E556" s="95"/>
      <c r="F556" s="95"/>
      <c r="G556" s="228"/>
      <c r="H556" s="228"/>
      <c r="I556" s="79"/>
    </row>
    <row r="557" spans="2:14" ht="15" customHeight="1">
      <c r="B557" s="79" t="str">
        <f>'Costed Impl plan'!B74</f>
        <v>1.4.3.1</v>
      </c>
      <c r="C557" s="811" t="str">
        <f>'Costed Impl plan'!C74</f>
        <v xml:space="preserve">Integrate and promote STI knowledge in general health BCC strategies </v>
      </c>
      <c r="D557" s="812"/>
      <c r="E557" s="812"/>
      <c r="F557" s="812"/>
      <c r="G557" s="812"/>
      <c r="H557" s="812"/>
      <c r="I557" s="813"/>
    </row>
    <row r="558" spans="2:14" ht="27.75" customHeight="1">
      <c r="C558" s="707" t="s">
        <v>464</v>
      </c>
      <c r="D558" s="708"/>
      <c r="E558" s="708"/>
      <c r="F558" s="708"/>
      <c r="G558" s="708"/>
      <c r="H558" s="106"/>
      <c r="I558" s="376"/>
      <c r="J558" s="807"/>
      <c r="K558" s="807"/>
      <c r="L558" s="807"/>
      <c r="M558" s="807"/>
      <c r="N558" s="807"/>
    </row>
    <row r="559" spans="2:14" ht="32.25" customHeight="1">
      <c r="C559" s="131" t="s">
        <v>452</v>
      </c>
      <c r="D559" s="113" t="s">
        <v>703</v>
      </c>
      <c r="E559" s="113" t="s">
        <v>453</v>
      </c>
      <c r="F559" s="113" t="s">
        <v>935</v>
      </c>
      <c r="G559" s="270" t="s">
        <v>932</v>
      </c>
      <c r="H559" s="270" t="s">
        <v>933</v>
      </c>
      <c r="I559" s="375" t="s">
        <v>651</v>
      </c>
      <c r="J559" s="107"/>
      <c r="K559" s="107"/>
      <c r="L559" s="107"/>
      <c r="M559" s="107"/>
      <c r="N559" s="107"/>
    </row>
    <row r="560" spans="2:14">
      <c r="C560" s="77" t="s">
        <v>738</v>
      </c>
      <c r="D560" s="74"/>
      <c r="E560" s="74"/>
      <c r="F560" s="74"/>
      <c r="G560" s="164"/>
      <c r="H560" s="164"/>
      <c r="I560" s="376"/>
    </row>
    <row r="561" spans="2:9">
      <c r="C561" s="150" t="s">
        <v>714</v>
      </c>
      <c r="D561" s="74" t="s">
        <v>706</v>
      </c>
      <c r="E561" s="74">
        <v>30</v>
      </c>
      <c r="F561" s="74">
        <v>200</v>
      </c>
      <c r="G561" s="164">
        <f>E561*F561</f>
        <v>6000</v>
      </c>
      <c r="H561" s="164">
        <f>G561*I7</f>
        <v>507000</v>
      </c>
      <c r="I561" s="376"/>
    </row>
    <row r="562" spans="2:9">
      <c r="C562" s="150" t="s">
        <v>707</v>
      </c>
      <c r="D562" s="74" t="s">
        <v>708</v>
      </c>
      <c r="E562" s="74">
        <v>5</v>
      </c>
      <c r="F562" s="74">
        <f>1500/80</f>
        <v>18.75</v>
      </c>
      <c r="G562" s="164">
        <f>E562*F562</f>
        <v>93.75</v>
      </c>
      <c r="H562" s="164">
        <f>G562*I7</f>
        <v>7921.875</v>
      </c>
      <c r="I562" s="376"/>
    </row>
    <row r="563" spans="2:9" s="79" customFormat="1">
      <c r="C563" s="75" t="s">
        <v>715</v>
      </c>
      <c r="D563" s="82"/>
      <c r="E563" s="82"/>
      <c r="F563" s="82"/>
      <c r="G563" s="267">
        <f>SUM(G561:G562)</f>
        <v>6093.75</v>
      </c>
      <c r="H563" s="267">
        <f>G563*I7</f>
        <v>514921.875</v>
      </c>
      <c r="I563" s="445"/>
    </row>
    <row r="564" spans="2:9">
      <c r="C564" s="407" t="s">
        <v>867</v>
      </c>
      <c r="D564" s="87"/>
      <c r="E564" s="152"/>
      <c r="F564" s="215"/>
      <c r="G564" s="206">
        <f>G563*10%</f>
        <v>609.375</v>
      </c>
      <c r="H564" s="206">
        <f>G564*I7</f>
        <v>51492.1875</v>
      </c>
      <c r="I564" s="376"/>
    </row>
    <row r="565" spans="2:9" ht="15.75" thickBot="1">
      <c r="C565" s="92" t="s">
        <v>879</v>
      </c>
      <c r="D565" s="93"/>
      <c r="E565" s="153"/>
      <c r="F565" s="153"/>
      <c r="G565" s="227">
        <f>(G563+G564)*1.1</f>
        <v>7373.4375000000009</v>
      </c>
      <c r="H565" s="227">
        <f>G565*I7</f>
        <v>623055.46875000012</v>
      </c>
      <c r="I565" s="432"/>
    </row>
    <row r="566" spans="2:9" ht="15.75" thickBot="1">
      <c r="C566" s="710" t="s">
        <v>1031</v>
      </c>
      <c r="D566" s="711"/>
      <c r="E566" s="711"/>
      <c r="F566" s="711"/>
      <c r="G566" s="711"/>
      <c r="H566" s="711"/>
      <c r="I566" s="712"/>
    </row>
    <row r="568" spans="2:9" ht="15.75" thickBot="1"/>
    <row r="569" spans="2:9" ht="28.5" customHeight="1">
      <c r="B569" s="79" t="str">
        <f>'Costed Impl plan'!B75</f>
        <v>1.4.3.2</v>
      </c>
      <c r="C569" s="704" t="str">
        <f>'Costed Impl plan'!C75</f>
        <v>Sensitize service providers to the special needs of key populations, PLHIV and young people (linked with 1.4.3.4)</v>
      </c>
      <c r="D569" s="705"/>
      <c r="E569" s="705"/>
      <c r="F569" s="705"/>
      <c r="G569" s="705"/>
      <c r="H569" s="705"/>
      <c r="I569" s="706"/>
    </row>
    <row r="570" spans="2:9" ht="15.75" thickBot="1">
      <c r="C570" s="108" t="s">
        <v>709</v>
      </c>
      <c r="D570" s="127"/>
      <c r="E570" s="127"/>
      <c r="F570" s="127"/>
      <c r="G570" s="278">
        <v>0</v>
      </c>
      <c r="H570" s="278"/>
      <c r="I570" s="432"/>
    </row>
    <row r="572" spans="2:9" ht="15.75" thickBot="1"/>
    <row r="573" spans="2:9" ht="19.5" customHeight="1">
      <c r="B573" s="79" t="str">
        <f>'Costed Impl plan'!B76</f>
        <v>1.4.3.3</v>
      </c>
      <c r="C573" s="704" t="str">
        <f>'Costed Impl plan'!C76</f>
        <v>Review, revise, update and print STI management guideline</v>
      </c>
      <c r="D573" s="705"/>
      <c r="E573" s="705"/>
      <c r="F573" s="705"/>
      <c r="G573" s="705"/>
      <c r="H573" s="705"/>
      <c r="I573" s="706"/>
    </row>
    <row r="574" spans="2:9" ht="28.5" customHeight="1">
      <c r="C574" s="131" t="s">
        <v>452</v>
      </c>
      <c r="D574" s="113" t="s">
        <v>703</v>
      </c>
      <c r="E574" s="113" t="s">
        <v>453</v>
      </c>
      <c r="F574" s="113" t="s">
        <v>935</v>
      </c>
      <c r="G574" s="270" t="s">
        <v>932</v>
      </c>
      <c r="H574" s="270" t="s">
        <v>933</v>
      </c>
      <c r="I574" s="375" t="s">
        <v>651</v>
      </c>
    </row>
    <row r="575" spans="2:9">
      <c r="C575" s="77" t="s">
        <v>861</v>
      </c>
      <c r="D575" s="74"/>
      <c r="E575" s="74"/>
      <c r="F575" s="74"/>
      <c r="G575" s="164"/>
      <c r="H575" s="164"/>
      <c r="I575" s="376"/>
    </row>
    <row r="576" spans="2:9">
      <c r="C576" s="150" t="s">
        <v>714</v>
      </c>
      <c r="D576" s="74" t="s">
        <v>706</v>
      </c>
      <c r="E576" s="74">
        <v>60</v>
      </c>
      <c r="F576" s="74">
        <v>200</v>
      </c>
      <c r="G576" s="164">
        <f>E576*F576</f>
        <v>12000</v>
      </c>
      <c r="H576" s="164">
        <f>G576*I7</f>
        <v>1014000</v>
      </c>
      <c r="I576" s="376"/>
    </row>
    <row r="577" spans="2:9">
      <c r="C577" s="150" t="s">
        <v>707</v>
      </c>
      <c r="D577" s="74" t="s">
        <v>708</v>
      </c>
      <c r="E577" s="74">
        <v>10</v>
      </c>
      <c r="F577" s="74">
        <f>1500/80</f>
        <v>18.75</v>
      </c>
      <c r="G577" s="164">
        <f>E577*F577</f>
        <v>187.5</v>
      </c>
      <c r="H577" s="164">
        <f>G577*I7</f>
        <v>15843.75</v>
      </c>
      <c r="I577" s="376"/>
    </row>
    <row r="578" spans="2:9" s="79" customFormat="1">
      <c r="C578" s="75" t="s">
        <v>715</v>
      </c>
      <c r="D578" s="82"/>
      <c r="E578" s="82"/>
      <c r="F578" s="82"/>
      <c r="G578" s="267">
        <f>SUM(G576:G577)</f>
        <v>12187.5</v>
      </c>
      <c r="H578" s="267">
        <f>G578*I7</f>
        <v>1029843.75</v>
      </c>
      <c r="I578" s="445"/>
    </row>
    <row r="579" spans="2:9" s="79" customFormat="1">
      <c r="C579" s="77" t="s">
        <v>831</v>
      </c>
      <c r="D579" s="74" t="s">
        <v>710</v>
      </c>
      <c r="E579" s="74">
        <v>3000</v>
      </c>
      <c r="F579" s="74">
        <v>4</v>
      </c>
      <c r="G579" s="164">
        <f>E579*F579</f>
        <v>12000</v>
      </c>
      <c r="H579" s="164">
        <f>G579*I7</f>
        <v>1014000</v>
      </c>
      <c r="I579" s="376" t="s">
        <v>711</v>
      </c>
    </row>
    <row r="580" spans="2:9">
      <c r="C580" s="72"/>
      <c r="D580" s="74" t="s">
        <v>710</v>
      </c>
      <c r="E580" s="74">
        <v>3000</v>
      </c>
      <c r="F580" s="74">
        <v>4</v>
      </c>
      <c r="G580" s="164">
        <f>E580*F580</f>
        <v>12000</v>
      </c>
      <c r="H580" s="164">
        <f>G580*I7</f>
        <v>1014000</v>
      </c>
      <c r="I580" s="376" t="s">
        <v>712</v>
      </c>
    </row>
    <row r="581" spans="2:9" s="79" customFormat="1">
      <c r="C581" s="75" t="s">
        <v>880</v>
      </c>
      <c r="D581" s="82"/>
      <c r="E581" s="82"/>
      <c r="F581" s="82"/>
      <c r="G581" s="267">
        <f>SUM(G579:G580)</f>
        <v>24000</v>
      </c>
      <c r="H581" s="267">
        <f>G581*I7</f>
        <v>2028000</v>
      </c>
      <c r="I581" s="445"/>
    </row>
    <row r="582" spans="2:9">
      <c r="B582" s="83"/>
      <c r="C582" s="407" t="s">
        <v>867</v>
      </c>
      <c r="D582" s="74"/>
      <c r="E582" s="74"/>
      <c r="F582" s="74"/>
      <c r="G582" s="279">
        <f>(G581+G578)*25%</f>
        <v>9046.875</v>
      </c>
      <c r="H582" s="279">
        <f>G582*I7</f>
        <v>764460.9375</v>
      </c>
      <c r="I582" s="376"/>
    </row>
    <row r="583" spans="2:9" ht="15.75" thickBot="1">
      <c r="C583" s="92" t="s">
        <v>466</v>
      </c>
      <c r="D583" s="93"/>
      <c r="E583" s="153"/>
      <c r="F583" s="153"/>
      <c r="G583" s="280">
        <f>(G578+G581+G582)*1.05</f>
        <v>47496.09375</v>
      </c>
      <c r="H583" s="280">
        <f>G583*I7</f>
        <v>4013419.921875</v>
      </c>
      <c r="I583" s="432"/>
    </row>
    <row r="584" spans="2:9" ht="15.75" thickBot="1">
      <c r="C584" s="710" t="s">
        <v>1031</v>
      </c>
      <c r="D584" s="711"/>
      <c r="E584" s="711"/>
      <c r="F584" s="711"/>
      <c r="G584" s="711"/>
      <c r="H584" s="711"/>
      <c r="I584" s="712"/>
    </row>
    <row r="586" spans="2:9" ht="15.75" thickBot="1"/>
    <row r="587" spans="2:9" ht="24" customHeight="1">
      <c r="B587" s="79" t="str">
        <f>'Costed Impl plan'!B77</f>
        <v>1.4.3.4</v>
      </c>
      <c r="C587" s="704" t="s">
        <v>45</v>
      </c>
      <c r="D587" s="705"/>
      <c r="E587" s="705"/>
      <c r="F587" s="705"/>
      <c r="G587" s="705"/>
      <c r="H587" s="705"/>
      <c r="I587" s="706"/>
    </row>
    <row r="588" spans="2:9">
      <c r="C588" s="721" t="s">
        <v>1053</v>
      </c>
      <c r="D588" s="722"/>
      <c r="E588" s="722"/>
      <c r="F588" s="722"/>
      <c r="G588" s="722"/>
      <c r="H588" s="722"/>
      <c r="I588" s="723"/>
    </row>
    <row r="589" spans="2:9" s="95" customFormat="1" ht="30">
      <c r="C589" s="131" t="s">
        <v>452</v>
      </c>
      <c r="D589" s="113" t="s">
        <v>703</v>
      </c>
      <c r="E589" s="113" t="s">
        <v>453</v>
      </c>
      <c r="F589" s="113" t="s">
        <v>935</v>
      </c>
      <c r="G589" s="270" t="s">
        <v>932</v>
      </c>
      <c r="H589" s="270" t="s">
        <v>933</v>
      </c>
      <c r="I589" s="375" t="s">
        <v>651</v>
      </c>
    </row>
    <row r="590" spans="2:9">
      <c r="C590" s="72" t="s">
        <v>740</v>
      </c>
      <c r="D590" s="74" t="s">
        <v>746</v>
      </c>
      <c r="E590" s="74"/>
      <c r="F590" s="160"/>
      <c r="G590" s="164"/>
      <c r="H590" s="164"/>
      <c r="I590" s="376"/>
    </row>
    <row r="591" spans="2:9">
      <c r="C591" s="72" t="s">
        <v>741</v>
      </c>
      <c r="D591" s="74" t="s">
        <v>747</v>
      </c>
      <c r="E591" s="74"/>
      <c r="F591" s="160"/>
      <c r="G591" s="164"/>
      <c r="H591" s="164"/>
      <c r="I591" s="376"/>
    </row>
    <row r="592" spans="2:9">
      <c r="C592" s="72" t="s">
        <v>742</v>
      </c>
      <c r="D592" s="74" t="s">
        <v>747</v>
      </c>
      <c r="E592" s="74"/>
      <c r="F592" s="160"/>
      <c r="G592" s="164"/>
      <c r="H592" s="164"/>
      <c r="I592" s="376"/>
    </row>
    <row r="593" spans="2:9">
      <c r="C593" s="72" t="s">
        <v>713</v>
      </c>
      <c r="D593" s="74" t="s">
        <v>748</v>
      </c>
      <c r="E593" s="74"/>
      <c r="F593" s="160"/>
      <c r="G593" s="164"/>
      <c r="H593" s="164"/>
      <c r="I593" s="376"/>
    </row>
    <row r="594" spans="2:9">
      <c r="C594" s="72" t="s">
        <v>743</v>
      </c>
      <c r="D594" s="74" t="s">
        <v>748</v>
      </c>
      <c r="E594" s="74"/>
      <c r="F594" s="160"/>
      <c r="G594" s="164"/>
      <c r="H594" s="164"/>
      <c r="I594" s="376"/>
    </row>
    <row r="595" spans="2:9">
      <c r="C595" s="72" t="s">
        <v>744</v>
      </c>
      <c r="D595" s="74" t="s">
        <v>748</v>
      </c>
      <c r="E595" s="74"/>
      <c r="F595" s="160"/>
      <c r="G595" s="164"/>
      <c r="H595" s="164"/>
      <c r="I595" s="376"/>
    </row>
    <row r="596" spans="2:9">
      <c r="C596" s="72" t="s">
        <v>745</v>
      </c>
      <c r="D596" s="74" t="s">
        <v>746</v>
      </c>
      <c r="E596" s="74"/>
      <c r="F596" s="160"/>
      <c r="G596" s="164"/>
      <c r="H596" s="164"/>
      <c r="I596" s="376"/>
    </row>
    <row r="597" spans="2:9">
      <c r="B597" s="83"/>
      <c r="C597" s="72" t="s">
        <v>867</v>
      </c>
      <c r="D597" s="74"/>
      <c r="E597" s="74"/>
      <c r="F597" s="74"/>
      <c r="G597" s="164"/>
      <c r="H597" s="164"/>
      <c r="I597" s="376"/>
    </row>
    <row r="598" spans="2:9">
      <c r="C598" s="76" t="s">
        <v>506</v>
      </c>
      <c r="D598" s="94"/>
      <c r="E598" s="132"/>
      <c r="F598" s="132"/>
      <c r="G598" s="273">
        <v>200</v>
      </c>
      <c r="H598" s="273">
        <f>G598*I7</f>
        <v>16900</v>
      </c>
      <c r="I598" s="574"/>
    </row>
    <row r="599" spans="2:9" ht="15.75" customHeight="1" thickBot="1">
      <c r="C599" s="724" t="s">
        <v>1051</v>
      </c>
      <c r="D599" s="725"/>
      <c r="E599" s="725"/>
      <c r="F599" s="725"/>
      <c r="G599" s="725"/>
      <c r="H599" s="725"/>
      <c r="I599" s="726"/>
    </row>
    <row r="601" spans="2:9" ht="15.75" thickBot="1"/>
    <row r="602" spans="2:9" ht="15" customHeight="1">
      <c r="B602" s="79" t="str">
        <f>'Costed Impl plan'!B78</f>
        <v>1.4.3.5</v>
      </c>
      <c r="C602" s="704" t="s">
        <v>1015</v>
      </c>
      <c r="D602" s="705"/>
      <c r="E602" s="705"/>
      <c r="F602" s="705"/>
      <c r="G602" s="705"/>
      <c r="H602" s="705"/>
      <c r="I602" s="706"/>
    </row>
    <row r="603" spans="2:9">
      <c r="C603" s="72" t="s">
        <v>469</v>
      </c>
      <c r="D603" s="74"/>
      <c r="E603" s="74"/>
      <c r="F603" s="74"/>
      <c r="G603" s="164"/>
      <c r="H603" s="164"/>
      <c r="I603" s="446" t="s">
        <v>651</v>
      </c>
    </row>
    <row r="604" spans="2:9">
      <c r="C604" s="72" t="s">
        <v>881</v>
      </c>
      <c r="D604" s="74"/>
      <c r="E604" s="74"/>
      <c r="F604" s="74"/>
      <c r="G604" s="164">
        <v>10000</v>
      </c>
      <c r="H604" s="164">
        <f>G604*I7</f>
        <v>845000</v>
      </c>
      <c r="I604" s="376"/>
    </row>
    <row r="605" spans="2:9">
      <c r="B605" s="83"/>
      <c r="C605" s="407" t="s">
        <v>867</v>
      </c>
      <c r="D605" s="152"/>
      <c r="E605" s="152"/>
      <c r="F605" s="215"/>
      <c r="G605" s="279">
        <f>G604*25%</f>
        <v>2500</v>
      </c>
      <c r="H605" s="279">
        <f>G605*I7</f>
        <v>211250</v>
      </c>
      <c r="I605" s="376"/>
    </row>
    <row r="606" spans="2:9">
      <c r="C606" s="76" t="s">
        <v>470</v>
      </c>
      <c r="D606" s="94"/>
      <c r="E606" s="132"/>
      <c r="F606" s="132"/>
      <c r="G606" s="273">
        <f>SUM(G604:G605)</f>
        <v>12500</v>
      </c>
      <c r="H606" s="273">
        <f>G606*I7</f>
        <v>1056250</v>
      </c>
      <c r="I606" s="376"/>
    </row>
    <row r="607" spans="2:9" ht="15.75" thickBot="1">
      <c r="C607" s="771" t="s">
        <v>1051</v>
      </c>
      <c r="D607" s="772"/>
      <c r="E607" s="772"/>
      <c r="F607" s="772"/>
      <c r="G607" s="772"/>
      <c r="H607" s="772"/>
      <c r="I607" s="773"/>
    </row>
    <row r="609" spans="2:9">
      <c r="B609" s="79" t="str">
        <f>'Costed Impl plan'!B79</f>
        <v>1.4.4</v>
      </c>
      <c r="C609" s="167" t="s">
        <v>252</v>
      </c>
      <c r="D609" s="95"/>
      <c r="E609" s="95"/>
    </row>
    <row r="610" spans="2:9" ht="15.75" thickBot="1"/>
    <row r="611" spans="2:9" s="171" customFormat="1">
      <c r="B611" s="170" t="str">
        <f>'Costed Impl plan'!B80</f>
        <v>1.4.4.1</v>
      </c>
      <c r="C611" s="774" t="str">
        <f>'Costed Impl plan'!C80</f>
        <v>Development of protocol for PMTCT</v>
      </c>
      <c r="D611" s="775"/>
      <c r="E611" s="775"/>
      <c r="F611" s="775"/>
      <c r="G611" s="775"/>
      <c r="H611" s="775"/>
      <c r="I611" s="776"/>
    </row>
    <row r="612" spans="2:9" s="171" customFormat="1" ht="30" customHeight="1">
      <c r="B612" s="170"/>
      <c r="C612" s="778" t="s">
        <v>882</v>
      </c>
      <c r="D612" s="779"/>
      <c r="E612" s="779"/>
      <c r="F612" s="779"/>
      <c r="G612" s="779"/>
      <c r="H612" s="779"/>
      <c r="I612" s="780"/>
    </row>
    <row r="613" spans="2:9" s="171" customFormat="1" ht="30.75" customHeight="1">
      <c r="B613" s="170"/>
      <c r="C613" s="414" t="s">
        <v>452</v>
      </c>
      <c r="D613" s="190" t="s">
        <v>703</v>
      </c>
      <c r="E613" s="190" t="s">
        <v>453</v>
      </c>
      <c r="F613" s="190" t="s">
        <v>935</v>
      </c>
      <c r="G613" s="293" t="s">
        <v>932</v>
      </c>
      <c r="H613" s="293" t="s">
        <v>933</v>
      </c>
      <c r="I613" s="419" t="s">
        <v>651</v>
      </c>
    </row>
    <row r="614" spans="2:9" s="171" customFormat="1">
      <c r="B614" s="170"/>
      <c r="C614" s="91" t="s">
        <v>885</v>
      </c>
      <c r="D614" s="152"/>
      <c r="E614" s="152"/>
      <c r="F614" s="152"/>
      <c r="G614" s="279"/>
      <c r="H614" s="279"/>
      <c r="I614" s="388"/>
    </row>
    <row r="615" spans="2:9" s="171" customFormat="1">
      <c r="B615" s="170"/>
      <c r="C615" s="381" t="s">
        <v>714</v>
      </c>
      <c r="D615" s="152" t="s">
        <v>706</v>
      </c>
      <c r="E615" s="152">
        <v>40</v>
      </c>
      <c r="F615" s="152">
        <v>200</v>
      </c>
      <c r="G615" s="279">
        <f>E615*F615</f>
        <v>8000</v>
      </c>
      <c r="H615" s="279">
        <f>G615*I7</f>
        <v>676000</v>
      </c>
      <c r="I615" s="727" t="s">
        <v>884</v>
      </c>
    </row>
    <row r="616" spans="2:9" s="171" customFormat="1">
      <c r="B616" s="170"/>
      <c r="C616" s="381" t="s">
        <v>707</v>
      </c>
      <c r="D616" s="152" t="s">
        <v>708</v>
      </c>
      <c r="E616" s="152">
        <v>10</v>
      </c>
      <c r="F616" s="152">
        <f>1500/80</f>
        <v>18.75</v>
      </c>
      <c r="G616" s="279">
        <f>E616*F616</f>
        <v>187.5</v>
      </c>
      <c r="H616" s="279">
        <f>G616*I7</f>
        <v>15843.75</v>
      </c>
      <c r="I616" s="727"/>
    </row>
    <row r="617" spans="2:9" s="170" customFormat="1">
      <c r="C617" s="382" t="s">
        <v>715</v>
      </c>
      <c r="D617" s="87"/>
      <c r="E617" s="87"/>
      <c r="F617" s="87"/>
      <c r="G617" s="206">
        <f>SUM(G615:G616)</f>
        <v>8187.5</v>
      </c>
      <c r="H617" s="206">
        <f>G617*I7</f>
        <v>691843.75</v>
      </c>
      <c r="I617" s="390"/>
    </row>
    <row r="618" spans="2:9" s="171" customFormat="1">
      <c r="B618" s="170"/>
      <c r="C618" s="91" t="s">
        <v>721</v>
      </c>
      <c r="D618" s="152"/>
      <c r="E618" s="152"/>
      <c r="F618" s="152"/>
      <c r="G618" s="279">
        <f t="shared" ref="G618:G625" si="7">E618*F618</f>
        <v>0</v>
      </c>
      <c r="H618" s="279">
        <f>G618*I7</f>
        <v>0</v>
      </c>
      <c r="I618" s="388"/>
    </row>
    <row r="619" spans="2:9" s="171" customFormat="1">
      <c r="B619" s="170"/>
      <c r="C619" s="381" t="s">
        <v>716</v>
      </c>
      <c r="D619" s="152" t="s">
        <v>852</v>
      </c>
      <c r="E619" s="152">
        <v>2</v>
      </c>
      <c r="F619" s="152">
        <v>150</v>
      </c>
      <c r="G619" s="279">
        <f t="shared" si="7"/>
        <v>300</v>
      </c>
      <c r="H619" s="279">
        <f>G619*I7</f>
        <v>25350</v>
      </c>
      <c r="I619" s="388" t="s">
        <v>914</v>
      </c>
    </row>
    <row r="620" spans="2:9" s="171" customFormat="1">
      <c r="B620" s="170"/>
      <c r="C620" s="381" t="s">
        <v>458</v>
      </c>
      <c r="D620" s="152" t="s">
        <v>706</v>
      </c>
      <c r="E620" s="152">
        <v>20</v>
      </c>
      <c r="F620" s="152">
        <v>100</v>
      </c>
      <c r="G620" s="279">
        <f t="shared" si="7"/>
        <v>2000</v>
      </c>
      <c r="H620" s="279">
        <f>G620*I7</f>
        <v>169000</v>
      </c>
      <c r="I620" s="388"/>
    </row>
    <row r="621" spans="2:9" s="171" customFormat="1">
      <c r="B621" s="170"/>
      <c r="C621" s="381" t="s">
        <v>714</v>
      </c>
      <c r="D621" s="152" t="s">
        <v>706</v>
      </c>
      <c r="E621" s="152">
        <v>20</v>
      </c>
      <c r="F621" s="152">
        <v>200</v>
      </c>
      <c r="G621" s="279">
        <f t="shared" si="7"/>
        <v>4000</v>
      </c>
      <c r="H621" s="279">
        <f>G621*I7</f>
        <v>338000</v>
      </c>
      <c r="I621" s="388"/>
    </row>
    <row r="622" spans="2:9" s="171" customFormat="1">
      <c r="B622" s="170"/>
      <c r="C622" s="381" t="s">
        <v>717</v>
      </c>
      <c r="D622" s="152" t="s">
        <v>706</v>
      </c>
      <c r="E622" s="152">
        <v>20</v>
      </c>
      <c r="F622" s="152">
        <v>68</v>
      </c>
      <c r="G622" s="279">
        <f t="shared" si="7"/>
        <v>1360</v>
      </c>
      <c r="H622" s="279">
        <f>G622*I7</f>
        <v>114920</v>
      </c>
      <c r="I622" s="388"/>
    </row>
    <row r="623" spans="2:9" s="171" customFormat="1">
      <c r="B623" s="170"/>
      <c r="C623" s="381" t="s">
        <v>718</v>
      </c>
      <c r="D623" s="152" t="s">
        <v>706</v>
      </c>
      <c r="E623" s="152">
        <v>20</v>
      </c>
      <c r="F623" s="152">
        <v>20</v>
      </c>
      <c r="G623" s="279">
        <f t="shared" si="7"/>
        <v>400</v>
      </c>
      <c r="H623" s="279">
        <f>G623*I7</f>
        <v>33800</v>
      </c>
      <c r="I623" s="388"/>
    </row>
    <row r="624" spans="2:9" s="170" customFormat="1">
      <c r="C624" s="382" t="s">
        <v>719</v>
      </c>
      <c r="D624" s="87"/>
      <c r="E624" s="87"/>
      <c r="F624" s="87">
        <f>SUM(F619:F623)</f>
        <v>538</v>
      </c>
      <c r="G624" s="206">
        <f>SUM(G619:G623)</f>
        <v>8060</v>
      </c>
      <c r="H624" s="206">
        <f>G624*I7</f>
        <v>681070</v>
      </c>
      <c r="I624" s="390"/>
    </row>
    <row r="625" spans="2:12" s="171" customFormat="1">
      <c r="B625" s="170"/>
      <c r="C625" s="91" t="s">
        <v>883</v>
      </c>
      <c r="D625" s="152"/>
      <c r="E625" s="152">
        <f>7*500</f>
        <v>3500</v>
      </c>
      <c r="F625" s="152">
        <v>7.5</v>
      </c>
      <c r="G625" s="206">
        <f t="shared" si="7"/>
        <v>26250</v>
      </c>
      <c r="H625" s="206">
        <f>G625*I7</f>
        <v>2218125</v>
      </c>
      <c r="I625" s="388" t="s">
        <v>913</v>
      </c>
    </row>
    <row r="626" spans="2:12" s="171" customFormat="1">
      <c r="B626" s="170"/>
      <c r="C626" s="406" t="s">
        <v>867</v>
      </c>
      <c r="D626" s="152"/>
      <c r="E626" s="152"/>
      <c r="F626" s="152"/>
      <c r="G626" s="206">
        <f>(G617+G624+G625)*25%</f>
        <v>10624.375</v>
      </c>
      <c r="H626" s="206">
        <f>G626*I7</f>
        <v>897759.6875</v>
      </c>
      <c r="I626" s="388"/>
    </row>
    <row r="627" spans="2:12" s="171" customFormat="1">
      <c r="B627" s="170"/>
      <c r="C627" s="91" t="s">
        <v>886</v>
      </c>
      <c r="D627" s="87"/>
      <c r="E627" s="152"/>
      <c r="F627" s="152"/>
      <c r="G627" s="206">
        <f>G617+G624+G625+G626</f>
        <v>53121.875</v>
      </c>
      <c r="H627" s="206">
        <f>G627*I7</f>
        <v>4488798.4375</v>
      </c>
      <c r="I627" s="388"/>
    </row>
    <row r="628" spans="2:12" s="171" customFormat="1" ht="15" customHeight="1" thickBot="1">
      <c r="B628" s="170"/>
      <c r="C628" s="710" t="s">
        <v>1031</v>
      </c>
      <c r="D628" s="711"/>
      <c r="E628" s="711"/>
      <c r="F628" s="711"/>
      <c r="G628" s="711"/>
      <c r="H628" s="711"/>
      <c r="I628" s="712"/>
    </row>
    <row r="630" spans="2:12" ht="15.75" thickBot="1"/>
    <row r="631" spans="2:12" ht="23.25" customHeight="1">
      <c r="B631" s="79" t="str">
        <f>'Costed Impl plan'!B81</f>
        <v>1.4.4.2</v>
      </c>
      <c r="C631" s="768" t="s">
        <v>1103</v>
      </c>
      <c r="D631" s="769"/>
      <c r="E631" s="769"/>
      <c r="F631" s="769"/>
      <c r="G631" s="769"/>
      <c r="H631" s="769"/>
      <c r="I631" s="770"/>
    </row>
    <row r="632" spans="2:12" ht="21" customHeight="1">
      <c r="C632" s="787" t="s">
        <v>472</v>
      </c>
      <c r="D632" s="788"/>
      <c r="E632" s="788"/>
      <c r="F632" s="788"/>
      <c r="G632" s="788"/>
      <c r="H632" s="788"/>
      <c r="I632" s="789"/>
      <c r="L632" s="109"/>
    </row>
    <row r="633" spans="2:12" ht="29.25" customHeight="1">
      <c r="C633" s="131" t="s">
        <v>452</v>
      </c>
      <c r="D633" s="113" t="s">
        <v>703</v>
      </c>
      <c r="E633" s="113" t="s">
        <v>453</v>
      </c>
      <c r="F633" s="113" t="s">
        <v>935</v>
      </c>
      <c r="G633" s="270" t="s">
        <v>932</v>
      </c>
      <c r="H633" s="270" t="s">
        <v>933</v>
      </c>
      <c r="I633" s="375" t="s">
        <v>651</v>
      </c>
      <c r="L633" s="109"/>
    </row>
    <row r="634" spans="2:12" ht="18.75" customHeight="1">
      <c r="C634" s="161" t="s">
        <v>650</v>
      </c>
      <c r="D634" s="106" t="s">
        <v>723</v>
      </c>
      <c r="E634" s="106">
        <v>1</v>
      </c>
      <c r="F634" s="106">
        <v>150</v>
      </c>
      <c r="G634" s="277">
        <f>E634*F634</f>
        <v>150</v>
      </c>
      <c r="H634" s="277">
        <f>G634*I7</f>
        <v>12675</v>
      </c>
      <c r="I634" s="376"/>
      <c r="L634" s="109"/>
    </row>
    <row r="635" spans="2:12" ht="18" customHeight="1">
      <c r="C635" s="161" t="s">
        <v>649</v>
      </c>
      <c r="D635" s="106" t="s">
        <v>723</v>
      </c>
      <c r="E635" s="106">
        <v>1</v>
      </c>
      <c r="F635" s="106">
        <v>125</v>
      </c>
      <c r="G635" s="277">
        <f>E635*F635</f>
        <v>125</v>
      </c>
      <c r="H635" s="277">
        <f>G635*I7</f>
        <v>10562.5</v>
      </c>
      <c r="I635" s="376"/>
      <c r="L635" s="109"/>
    </row>
    <row r="636" spans="2:12" ht="18" customHeight="1">
      <c r="C636" s="407" t="s">
        <v>867</v>
      </c>
      <c r="D636" s="106"/>
      <c r="E636" s="106"/>
      <c r="F636" s="106"/>
      <c r="G636" s="206">
        <f>SUM(G634:G635)*25%</f>
        <v>68.75</v>
      </c>
      <c r="H636" s="206">
        <f>G636*I7</f>
        <v>5809.375</v>
      </c>
      <c r="I636" s="376"/>
      <c r="L636" s="109"/>
    </row>
    <row r="637" spans="2:12">
      <c r="C637" s="76" t="s">
        <v>473</v>
      </c>
      <c r="D637" s="94"/>
      <c r="E637" s="132"/>
      <c r="F637" s="132"/>
      <c r="G637" s="240">
        <f>SUM(G634:G636)</f>
        <v>343.75</v>
      </c>
      <c r="H637" s="240">
        <f>G637*I7</f>
        <v>29046.875</v>
      </c>
      <c r="I637" s="376"/>
      <c r="L637" s="109"/>
    </row>
    <row r="638" spans="2:12" ht="15" customHeight="1" thickBot="1">
      <c r="C638" s="710" t="s">
        <v>1031</v>
      </c>
      <c r="D638" s="711"/>
      <c r="E638" s="711"/>
      <c r="F638" s="711"/>
      <c r="G638" s="711"/>
      <c r="H638" s="711"/>
      <c r="I638" s="712"/>
      <c r="L638" s="109"/>
    </row>
    <row r="639" spans="2:12">
      <c r="L639" s="109"/>
    </row>
    <row r="640" spans="2:12" ht="15.75" thickBot="1">
      <c r="L640" s="109"/>
    </row>
    <row r="641" spans="2:9" ht="17.25" customHeight="1">
      <c r="B641" s="79" t="str">
        <f>'Costed Impl plan'!B82</f>
        <v>1.4.4.3</v>
      </c>
      <c r="C641" s="704" t="str">
        <f>'Costed Impl plan'!C82</f>
        <v>Screening, identification and provide PMTCT services to HIV+ pregnant women</v>
      </c>
      <c r="D641" s="705"/>
      <c r="E641" s="705"/>
      <c r="F641" s="705"/>
      <c r="G641" s="705"/>
      <c r="H641" s="705"/>
      <c r="I641" s="706"/>
    </row>
    <row r="642" spans="2:9" ht="30">
      <c r="C642" s="131" t="s">
        <v>452</v>
      </c>
      <c r="D642" s="113" t="s">
        <v>703</v>
      </c>
      <c r="E642" s="113" t="s">
        <v>453</v>
      </c>
      <c r="F642" s="113" t="s">
        <v>935</v>
      </c>
      <c r="G642" s="270" t="s">
        <v>932</v>
      </c>
      <c r="H642" s="270" t="s">
        <v>933</v>
      </c>
      <c r="I642" s="375" t="s">
        <v>651</v>
      </c>
    </row>
    <row r="643" spans="2:9">
      <c r="C643" s="72" t="s">
        <v>474</v>
      </c>
      <c r="D643" s="74" t="s">
        <v>853</v>
      </c>
      <c r="E643" s="74"/>
      <c r="F643" s="74"/>
      <c r="G643" s="164"/>
      <c r="H643" s="164"/>
      <c r="I643" s="376"/>
    </row>
    <row r="644" spans="2:9">
      <c r="C644" s="72" t="s">
        <v>475</v>
      </c>
      <c r="D644" s="74"/>
      <c r="E644" s="74"/>
      <c r="F644" s="74"/>
      <c r="G644" s="164"/>
      <c r="H644" s="164"/>
      <c r="I644" s="376"/>
    </row>
    <row r="645" spans="2:9">
      <c r="C645" s="72" t="s">
        <v>476</v>
      </c>
      <c r="D645" s="74"/>
      <c r="E645" s="74"/>
      <c r="F645" s="74"/>
      <c r="G645" s="164"/>
      <c r="H645" s="164"/>
      <c r="I645" s="376"/>
    </row>
    <row r="646" spans="2:9">
      <c r="C646" s="72" t="s">
        <v>477</v>
      </c>
      <c r="D646" s="74"/>
      <c r="E646" s="74"/>
      <c r="F646" s="74"/>
      <c r="G646" s="164"/>
      <c r="H646" s="164"/>
      <c r="I646" s="376"/>
    </row>
    <row r="647" spans="2:9">
      <c r="C647" s="72" t="s">
        <v>478</v>
      </c>
      <c r="D647" s="74"/>
      <c r="E647" s="74"/>
      <c r="F647" s="74"/>
      <c r="G647" s="164"/>
      <c r="H647" s="164"/>
      <c r="I647" s="376"/>
    </row>
    <row r="648" spans="2:9">
      <c r="C648" s="72" t="s">
        <v>479</v>
      </c>
      <c r="D648" s="74"/>
      <c r="E648" s="74"/>
      <c r="F648" s="74"/>
      <c r="G648" s="164"/>
      <c r="H648" s="164"/>
      <c r="I648" s="376"/>
    </row>
    <row r="649" spans="2:9">
      <c r="C649" s="72" t="s">
        <v>480</v>
      </c>
      <c r="D649" s="74"/>
      <c r="E649" s="74"/>
      <c r="F649" s="74"/>
      <c r="G649" s="164"/>
      <c r="H649" s="164"/>
      <c r="I649" s="376"/>
    </row>
    <row r="650" spans="2:9">
      <c r="C650" s="72" t="s">
        <v>481</v>
      </c>
      <c r="D650" s="74"/>
      <c r="E650" s="74"/>
      <c r="F650" s="74"/>
      <c r="G650" s="164"/>
      <c r="H650" s="164"/>
      <c r="I650" s="376"/>
    </row>
    <row r="651" spans="2:9">
      <c r="C651" s="72" t="s">
        <v>482</v>
      </c>
      <c r="D651" s="74"/>
      <c r="E651" s="74"/>
      <c r="F651" s="74"/>
      <c r="G651" s="164"/>
      <c r="H651" s="164"/>
      <c r="I651" s="376"/>
    </row>
    <row r="652" spans="2:9">
      <c r="C652" s="72" t="s">
        <v>483</v>
      </c>
      <c r="D652" s="74"/>
      <c r="E652" s="74"/>
      <c r="F652" s="74"/>
      <c r="G652" s="164"/>
      <c r="H652" s="164"/>
      <c r="I652" s="376"/>
    </row>
    <row r="653" spans="2:9" ht="30" customHeight="1">
      <c r="C653" s="407" t="s">
        <v>484</v>
      </c>
      <c r="D653" s="106"/>
      <c r="E653" s="74"/>
      <c r="F653" s="74"/>
      <c r="G653" s="164"/>
      <c r="H653" s="164"/>
      <c r="I653" s="376"/>
    </row>
    <row r="654" spans="2:9" ht="18" customHeight="1">
      <c r="C654" s="77" t="s">
        <v>485</v>
      </c>
      <c r="D654" s="82"/>
      <c r="E654" s="74"/>
      <c r="F654" s="74"/>
      <c r="G654" s="267">
        <v>50</v>
      </c>
      <c r="H654" s="267">
        <f>G654*I7</f>
        <v>4225</v>
      </c>
      <c r="I654" s="447"/>
    </row>
    <row r="655" spans="2:9" ht="15.75" thickBot="1">
      <c r="C655" s="710" t="s">
        <v>1031</v>
      </c>
      <c r="D655" s="711"/>
      <c r="E655" s="711"/>
      <c r="F655" s="711"/>
      <c r="G655" s="711"/>
      <c r="H655" s="711"/>
      <c r="I655" s="712"/>
    </row>
    <row r="656" spans="2:9">
      <c r="C656" s="584"/>
      <c r="D656" s="584"/>
      <c r="E656" s="584"/>
      <c r="F656" s="584"/>
      <c r="G656" s="584"/>
      <c r="H656" s="584"/>
      <c r="I656" s="584"/>
    </row>
    <row r="657" spans="2:10" ht="15.75" thickBot="1"/>
    <row r="658" spans="2:10" ht="15" customHeight="1">
      <c r="B658" s="79" t="s">
        <v>1066</v>
      </c>
      <c r="C658" s="704" t="s">
        <v>1068</v>
      </c>
      <c r="D658" s="705"/>
      <c r="E658" s="705"/>
      <c r="F658" s="705"/>
      <c r="G658" s="705"/>
      <c r="H658" s="705"/>
      <c r="I658" s="706"/>
    </row>
    <row r="659" spans="2:10">
      <c r="C659" s="72"/>
      <c r="D659" s="74"/>
      <c r="E659" s="74"/>
      <c r="F659" s="74"/>
      <c r="G659" s="164"/>
      <c r="H659" s="164"/>
      <c r="I659" s="446" t="s">
        <v>651</v>
      </c>
    </row>
    <row r="660" spans="2:10">
      <c r="C660" s="72" t="s">
        <v>1069</v>
      </c>
      <c r="D660" s="74"/>
      <c r="E660" s="74"/>
      <c r="F660" s="74"/>
      <c r="G660" s="267">
        <v>0</v>
      </c>
      <c r="H660" s="267">
        <f>G660*I7</f>
        <v>0</v>
      </c>
      <c r="I660" s="376"/>
      <c r="J660" s="585"/>
    </row>
    <row r="661" spans="2:10" ht="15.75" thickBot="1">
      <c r="C661" s="710" t="s">
        <v>1051</v>
      </c>
      <c r="D661" s="711"/>
      <c r="E661" s="711"/>
      <c r="F661" s="711"/>
      <c r="G661" s="711"/>
      <c r="H661" s="711"/>
      <c r="I661" s="712"/>
    </row>
    <row r="662" spans="2:10">
      <c r="D662" s="83"/>
      <c r="E662" s="83"/>
      <c r="F662" s="83"/>
      <c r="G662" s="83"/>
      <c r="H662" s="83"/>
    </row>
    <row r="663" spans="2:10">
      <c r="D663" s="83"/>
      <c r="E663" s="83"/>
      <c r="F663" s="83"/>
      <c r="G663" s="83"/>
      <c r="H663" s="83"/>
    </row>
    <row r="664" spans="2:10" ht="15.75" thickBot="1"/>
    <row r="665" spans="2:10">
      <c r="B665" s="79" t="str">
        <f>'Costed Impl plan'!B90</f>
        <v>2.1.1</v>
      </c>
      <c r="C665" s="704" t="str">
        <f>'Costed Impl plan'!C90</f>
        <v>Provide ART  to eligible PLHIV</v>
      </c>
      <c r="D665" s="705"/>
      <c r="E665" s="705"/>
      <c r="F665" s="705"/>
      <c r="G665" s="705"/>
      <c r="H665" s="705"/>
      <c r="I665" s="706"/>
    </row>
    <row r="666" spans="2:10" ht="30">
      <c r="C666" s="131" t="s">
        <v>452</v>
      </c>
      <c r="D666" s="113" t="s">
        <v>703</v>
      </c>
      <c r="E666" s="113" t="s">
        <v>453</v>
      </c>
      <c r="F666" s="113" t="s">
        <v>935</v>
      </c>
      <c r="G666" s="270" t="s">
        <v>932</v>
      </c>
      <c r="H666" s="270" t="s">
        <v>933</v>
      </c>
      <c r="I666" s="375" t="s">
        <v>651</v>
      </c>
    </row>
    <row r="667" spans="2:10">
      <c r="C667" s="72" t="s">
        <v>477</v>
      </c>
      <c r="D667" s="74" t="s">
        <v>853</v>
      </c>
      <c r="E667" s="74"/>
      <c r="F667" s="74"/>
      <c r="G667" s="279">
        <f>121.823*0.8</f>
        <v>97.458399999999997</v>
      </c>
      <c r="H667" s="279">
        <f>G667*I7</f>
        <v>8235.2348000000002</v>
      </c>
      <c r="I667" s="448"/>
    </row>
    <row r="668" spans="2:10">
      <c r="C668" s="72" t="s">
        <v>478</v>
      </c>
      <c r="D668" s="74"/>
      <c r="E668" s="74"/>
      <c r="F668" s="74"/>
      <c r="G668" s="279">
        <f>248.989*0.8</f>
        <v>199.19120000000001</v>
      </c>
      <c r="H668" s="279">
        <f>G668*I7</f>
        <v>16831.6564</v>
      </c>
      <c r="I668" s="376"/>
    </row>
    <row r="669" spans="2:10">
      <c r="C669" s="72" t="s">
        <v>488</v>
      </c>
      <c r="D669" s="74"/>
      <c r="E669" s="74"/>
      <c r="F669" s="74"/>
      <c r="G669" s="267">
        <f>SUM(G667:G668)</f>
        <v>296.64960000000002</v>
      </c>
      <c r="H669" s="267">
        <f>G669*I7</f>
        <v>25066.891200000002</v>
      </c>
      <c r="I669" s="447"/>
    </row>
    <row r="670" spans="2:10">
      <c r="C670" s="72" t="s">
        <v>479</v>
      </c>
      <c r="D670" s="74"/>
      <c r="E670" s="74"/>
      <c r="F670" s="74"/>
      <c r="G670" s="164">
        <v>15</v>
      </c>
      <c r="H670" s="164">
        <f>G670*I7</f>
        <v>1267.5</v>
      </c>
      <c r="I670" s="376"/>
    </row>
    <row r="671" spans="2:10">
      <c r="C671" s="72" t="s">
        <v>480</v>
      </c>
      <c r="D671" s="74"/>
      <c r="E671" s="74"/>
      <c r="F671" s="74"/>
      <c r="G671" s="164">
        <v>15</v>
      </c>
      <c r="H671" s="164">
        <f>G671*I7</f>
        <v>1267.5</v>
      </c>
      <c r="I671" s="376"/>
    </row>
    <row r="672" spans="2:10">
      <c r="C672" s="72" t="s">
        <v>481</v>
      </c>
      <c r="D672" s="74"/>
      <c r="E672" s="74"/>
      <c r="F672" s="74"/>
      <c r="G672" s="164">
        <f>7.76388888888889*0.8</f>
        <v>6.2111111111111121</v>
      </c>
      <c r="H672" s="164">
        <f>G672*I7</f>
        <v>524.83888888888896</v>
      </c>
      <c r="I672" s="376"/>
    </row>
    <row r="673" spans="2:9">
      <c r="C673" s="72" t="s">
        <v>482</v>
      </c>
      <c r="D673" s="74"/>
      <c r="E673" s="74"/>
      <c r="F673" s="74"/>
      <c r="G673" s="164">
        <v>0</v>
      </c>
      <c r="H673" s="164">
        <f>G673*I7</f>
        <v>0</v>
      </c>
      <c r="I673" s="376"/>
    </row>
    <row r="674" spans="2:9">
      <c r="C674" s="72" t="s">
        <v>915</v>
      </c>
      <c r="D674" s="74"/>
      <c r="E674" s="74"/>
      <c r="F674" s="74"/>
      <c r="G674" s="164">
        <f>122.938111111111*0.8</f>
        <v>98.350488888888805</v>
      </c>
      <c r="H674" s="164">
        <f>G674*I7</f>
        <v>8310.6163111111036</v>
      </c>
      <c r="I674" s="376"/>
    </row>
    <row r="675" spans="2:9">
      <c r="C675" s="72" t="s">
        <v>916</v>
      </c>
      <c r="D675" s="74"/>
      <c r="E675" s="74"/>
      <c r="F675" s="74"/>
      <c r="G675" s="164">
        <f>SUM(G669:G674)*25%</f>
        <v>107.80279999999999</v>
      </c>
      <c r="H675" s="164">
        <f>G675*I7</f>
        <v>9109.3365999999987</v>
      </c>
      <c r="I675" s="376"/>
    </row>
    <row r="676" spans="2:9">
      <c r="C676" s="77" t="s">
        <v>489</v>
      </c>
      <c r="D676" s="82"/>
      <c r="E676" s="74"/>
      <c r="F676" s="74"/>
      <c r="G676" s="267">
        <f>SUM(G669:G675)</f>
        <v>539.0139999999999</v>
      </c>
      <c r="H676" s="267">
        <f>G676*I7</f>
        <v>45546.68299999999</v>
      </c>
      <c r="I676" s="376"/>
    </row>
    <row r="677" spans="2:9" ht="15.75" thickBot="1">
      <c r="C677" s="724" t="s">
        <v>1055</v>
      </c>
      <c r="D677" s="725"/>
      <c r="E677" s="725"/>
      <c r="F677" s="725"/>
      <c r="G677" s="725"/>
      <c r="H677" s="725"/>
      <c r="I677" s="726"/>
    </row>
    <row r="678" spans="2:9" ht="15.75" thickBot="1"/>
    <row r="679" spans="2:9">
      <c r="B679" s="79" t="str">
        <f>'Costed Impl plan'!B91</f>
        <v>2.1.2</v>
      </c>
      <c r="C679" s="704" t="str">
        <f>'Costed Impl plan'!C91</f>
        <v>Number of PLHIV on ART receive viral load test</v>
      </c>
      <c r="D679" s="705"/>
      <c r="E679" s="705"/>
      <c r="F679" s="705"/>
      <c r="G679" s="705"/>
      <c r="H679" s="705"/>
      <c r="I679" s="706"/>
    </row>
    <row r="680" spans="2:9">
      <c r="C680" s="72" t="s">
        <v>1063</v>
      </c>
      <c r="D680" s="74"/>
      <c r="E680" s="74"/>
      <c r="F680" s="74"/>
      <c r="G680" s="279">
        <v>25</v>
      </c>
      <c r="H680" s="279">
        <f>G680*I7</f>
        <v>2112.5</v>
      </c>
      <c r="I680" s="448"/>
    </row>
    <row r="681" spans="2:9" ht="15.75" thickBot="1">
      <c r="C681" s="724" t="s">
        <v>1051</v>
      </c>
      <c r="D681" s="725"/>
      <c r="E681" s="725"/>
      <c r="F681" s="725"/>
      <c r="G681" s="725"/>
      <c r="H681" s="725"/>
      <c r="I681" s="726"/>
    </row>
    <row r="685" spans="2:9" ht="15.75" thickBot="1"/>
    <row r="686" spans="2:9" ht="24" customHeight="1">
      <c r="B686" s="79" t="str">
        <f>'Costed Impl plan'!B94</f>
        <v>2.2.1</v>
      </c>
      <c r="C686" s="704" t="str">
        <f>'Costed Impl plan'!C94</f>
        <v>Training of ART service providers of public and private sector with annual refresher for out-patient and in-patient care</v>
      </c>
      <c r="D686" s="705"/>
      <c r="E686" s="705"/>
      <c r="F686" s="705"/>
      <c r="G686" s="705"/>
      <c r="H686" s="705"/>
      <c r="I686" s="706"/>
    </row>
    <row r="687" spans="2:9">
      <c r="C687" s="707" t="s">
        <v>1159</v>
      </c>
      <c r="D687" s="708"/>
      <c r="E687" s="708"/>
      <c r="F687" s="708"/>
      <c r="G687" s="708"/>
      <c r="H687" s="708"/>
      <c r="I687" s="709"/>
    </row>
    <row r="688" spans="2:9" ht="30">
      <c r="C688" s="131" t="s">
        <v>452</v>
      </c>
      <c r="D688" s="113" t="s">
        <v>703</v>
      </c>
      <c r="E688" s="113" t="s">
        <v>453</v>
      </c>
      <c r="F688" s="113" t="s">
        <v>935</v>
      </c>
      <c r="G688" s="270" t="s">
        <v>932</v>
      </c>
      <c r="H688" s="270" t="s">
        <v>933</v>
      </c>
      <c r="I688" s="375" t="s">
        <v>651</v>
      </c>
    </row>
    <row r="689" spans="2:9">
      <c r="C689" s="161" t="s">
        <v>1160</v>
      </c>
      <c r="D689" s="106" t="s">
        <v>723</v>
      </c>
      <c r="E689" s="106">
        <v>1</v>
      </c>
      <c r="F689" s="106">
        <v>100</v>
      </c>
      <c r="G689" s="277">
        <f>E689*F689</f>
        <v>100</v>
      </c>
      <c r="H689" s="575">
        <f>G689*I7</f>
        <v>8450</v>
      </c>
      <c r="I689" s="376"/>
    </row>
    <row r="690" spans="2:9">
      <c r="C690" s="161" t="s">
        <v>649</v>
      </c>
      <c r="D690" s="106" t="s">
        <v>723</v>
      </c>
      <c r="E690" s="106">
        <v>1</v>
      </c>
      <c r="F690" s="106">
        <v>100</v>
      </c>
      <c r="G690" s="277">
        <f>E690*F690</f>
        <v>100</v>
      </c>
      <c r="H690" s="575">
        <f>G690*I7</f>
        <v>8450</v>
      </c>
      <c r="I690" s="376"/>
    </row>
    <row r="691" spans="2:9">
      <c r="C691" s="572" t="s">
        <v>867</v>
      </c>
      <c r="D691" s="106"/>
      <c r="E691" s="106"/>
      <c r="F691" s="106"/>
      <c r="G691" s="206">
        <f>SUM(G689:G690)*25%</f>
        <v>50</v>
      </c>
      <c r="H691" s="575">
        <f>G691*I7</f>
        <v>4225</v>
      </c>
      <c r="I691" s="376"/>
    </row>
    <row r="692" spans="2:9">
      <c r="C692" s="76" t="s">
        <v>473</v>
      </c>
      <c r="D692" s="94"/>
      <c r="E692" s="132"/>
      <c r="F692" s="132"/>
      <c r="G692" s="240">
        <f>SUM(G689:G691)</f>
        <v>250</v>
      </c>
      <c r="H692" s="240">
        <f>SUM(H689:H691)</f>
        <v>21125</v>
      </c>
      <c r="I692" s="376"/>
    </row>
    <row r="693" spans="2:9" ht="15.75" thickBot="1">
      <c r="C693" s="710" t="s">
        <v>1031</v>
      </c>
      <c r="D693" s="711"/>
      <c r="E693" s="711"/>
      <c r="F693" s="711"/>
      <c r="G693" s="711"/>
      <c r="H693" s="711"/>
      <c r="I693" s="712"/>
    </row>
    <row r="695" spans="2:9" ht="15.75" thickBot="1"/>
    <row r="696" spans="2:9" ht="20.25" customHeight="1">
      <c r="B696" s="79" t="str">
        <f>'Costed Impl plan'!B95</f>
        <v>2.2.2</v>
      </c>
      <c r="C696" s="704" t="str">
        <f>'Costed Impl plan'!C95</f>
        <v>Develop and maintain an accreditation system for trained service providers</v>
      </c>
      <c r="D696" s="705"/>
      <c r="E696" s="705"/>
      <c r="F696" s="705"/>
      <c r="G696" s="705"/>
      <c r="H696" s="705"/>
      <c r="I696" s="706"/>
    </row>
    <row r="697" spans="2:9" ht="33" customHeight="1">
      <c r="C697" s="707" t="s">
        <v>724</v>
      </c>
      <c r="D697" s="708"/>
      <c r="E697" s="708"/>
      <c r="F697" s="708"/>
      <c r="G697" s="708"/>
      <c r="H697" s="708"/>
      <c r="I697" s="709"/>
    </row>
    <row r="698" spans="2:9" ht="30">
      <c r="C698" s="131" t="s">
        <v>452</v>
      </c>
      <c r="D698" s="113" t="s">
        <v>703</v>
      </c>
      <c r="E698" s="113" t="s">
        <v>453</v>
      </c>
      <c r="F698" s="113" t="s">
        <v>935</v>
      </c>
      <c r="G698" s="270" t="s">
        <v>932</v>
      </c>
      <c r="H698" s="270" t="s">
        <v>933</v>
      </c>
      <c r="I698" s="375" t="s">
        <v>651</v>
      </c>
    </row>
    <row r="699" spans="2:9">
      <c r="C699" s="77" t="s">
        <v>720</v>
      </c>
      <c r="D699" s="106"/>
      <c r="E699" s="74"/>
      <c r="F699" s="74"/>
      <c r="G699" s="164"/>
      <c r="H699" s="164"/>
      <c r="I699" s="376"/>
    </row>
    <row r="700" spans="2:9">
      <c r="C700" s="150" t="s">
        <v>714</v>
      </c>
      <c r="D700" s="74" t="s">
        <v>706</v>
      </c>
      <c r="E700" s="74">
        <v>50</v>
      </c>
      <c r="F700" s="74">
        <v>0</v>
      </c>
      <c r="G700" s="164">
        <f>E700*F700</f>
        <v>0</v>
      </c>
      <c r="H700" s="164">
        <f>G700*I7</f>
        <v>0</v>
      </c>
      <c r="I700" s="376"/>
    </row>
    <row r="701" spans="2:9">
      <c r="C701" s="150" t="s">
        <v>707</v>
      </c>
      <c r="D701" s="74" t="s">
        <v>708</v>
      </c>
      <c r="E701" s="74">
        <v>10</v>
      </c>
      <c r="F701" s="74">
        <v>0</v>
      </c>
      <c r="G701" s="164">
        <f>E701*F701</f>
        <v>0</v>
      </c>
      <c r="H701" s="164">
        <f>G701*I7</f>
        <v>0</v>
      </c>
      <c r="I701" s="376"/>
    </row>
    <row r="702" spans="2:9">
      <c r="C702" s="75" t="s">
        <v>715</v>
      </c>
      <c r="D702" s="106"/>
      <c r="E702" s="74"/>
      <c r="F702" s="82">
        <v>0</v>
      </c>
      <c r="G702" s="267">
        <f>SUM(G700:G701)</f>
        <v>0</v>
      </c>
      <c r="H702" s="267">
        <f>G702*I7</f>
        <v>0</v>
      </c>
      <c r="I702" s="376"/>
    </row>
    <row r="703" spans="2:9">
      <c r="C703" s="77" t="s">
        <v>486</v>
      </c>
      <c r="D703" s="74" t="s">
        <v>725</v>
      </c>
      <c r="E703" s="74">
        <v>500</v>
      </c>
      <c r="F703" s="74">
        <v>0</v>
      </c>
      <c r="G703" s="164">
        <f>E703*F703</f>
        <v>0</v>
      </c>
      <c r="H703" s="164">
        <f>G703*I7</f>
        <v>0</v>
      </c>
      <c r="I703" s="376"/>
    </row>
    <row r="704" spans="2:9">
      <c r="C704" s="77" t="s">
        <v>487</v>
      </c>
      <c r="D704" s="74" t="s">
        <v>726</v>
      </c>
      <c r="E704" s="74">
        <v>1</v>
      </c>
      <c r="F704" s="74">
        <v>0</v>
      </c>
      <c r="G704" s="164">
        <f>E704*F704</f>
        <v>0</v>
      </c>
      <c r="H704" s="164">
        <f>G704*I7</f>
        <v>0</v>
      </c>
      <c r="I704" s="376"/>
    </row>
    <row r="705" spans="2:9" s="79" customFormat="1">
      <c r="C705" s="216" t="s">
        <v>867</v>
      </c>
      <c r="D705" s="82"/>
      <c r="E705" s="82"/>
      <c r="F705" s="82"/>
      <c r="G705" s="267">
        <f>SUM(G702:G704)*25%</f>
        <v>0</v>
      </c>
      <c r="H705" s="267">
        <f>G705*I7</f>
        <v>0</v>
      </c>
      <c r="I705" s="445"/>
    </row>
    <row r="706" spans="2:9">
      <c r="C706" s="76" t="s">
        <v>463</v>
      </c>
      <c r="D706" s="94"/>
      <c r="E706" s="132"/>
      <c r="F706" s="132"/>
      <c r="G706" s="273">
        <f>G702+G703+G704+G705</f>
        <v>0</v>
      </c>
      <c r="H706" s="273">
        <f>G706*I7</f>
        <v>0</v>
      </c>
      <c r="I706" s="376"/>
    </row>
    <row r="707" spans="2:9" ht="15" customHeight="1" thickBot="1">
      <c r="C707" s="710" t="s">
        <v>1031</v>
      </c>
      <c r="D707" s="711"/>
      <c r="E707" s="711"/>
      <c r="F707" s="711"/>
      <c r="G707" s="711"/>
      <c r="H707" s="711"/>
      <c r="I707" s="712"/>
    </row>
    <row r="710" spans="2:9" ht="15.75" thickBot="1"/>
    <row r="711" spans="2:9" ht="34.5" customHeight="1">
      <c r="B711" s="79" t="str">
        <f>'Costed Impl plan'!B96</f>
        <v>2.2.3</v>
      </c>
      <c r="C711" s="704" t="str">
        <f>'Costed Impl plan'!C96</f>
        <v>Develop selected Internal Medicine department of public medical college hospitals for complex treatment referral center and support for local level providers</v>
      </c>
      <c r="D711" s="705"/>
      <c r="E711" s="705"/>
      <c r="F711" s="705"/>
      <c r="G711" s="705"/>
      <c r="H711" s="705"/>
      <c r="I711" s="706"/>
    </row>
    <row r="712" spans="2:9" ht="36" customHeight="1">
      <c r="C712" s="707" t="s">
        <v>1056</v>
      </c>
      <c r="D712" s="708"/>
      <c r="E712" s="708"/>
      <c r="F712" s="708"/>
      <c r="G712" s="708"/>
      <c r="H712" s="708"/>
      <c r="I712" s="709"/>
    </row>
    <row r="713" spans="2:9" ht="30">
      <c r="C713" s="131" t="s">
        <v>452</v>
      </c>
      <c r="D713" s="113" t="s">
        <v>703</v>
      </c>
      <c r="E713" s="113" t="s">
        <v>453</v>
      </c>
      <c r="F713" s="113" t="s">
        <v>935</v>
      </c>
      <c r="G713" s="270" t="s">
        <v>932</v>
      </c>
      <c r="H713" s="270" t="s">
        <v>933</v>
      </c>
      <c r="I713" s="375" t="s">
        <v>651</v>
      </c>
    </row>
    <row r="714" spans="2:9">
      <c r="C714" s="72" t="s">
        <v>490</v>
      </c>
      <c r="D714" s="74"/>
      <c r="E714" s="74"/>
      <c r="F714" s="74"/>
      <c r="G714" s="164"/>
      <c r="H714" s="164"/>
      <c r="I714" s="376"/>
    </row>
    <row r="715" spans="2:9">
      <c r="C715" s="72" t="s">
        <v>491</v>
      </c>
      <c r="D715" s="74" t="s">
        <v>727</v>
      </c>
      <c r="E715" s="74">
        <v>8</v>
      </c>
      <c r="F715" s="74">
        <v>4750</v>
      </c>
      <c r="G715" s="164">
        <f>E715*F715</f>
        <v>38000</v>
      </c>
      <c r="H715" s="164">
        <f>G715*I7</f>
        <v>3211000</v>
      </c>
      <c r="I715" s="376"/>
    </row>
    <row r="716" spans="2:9">
      <c r="C716" s="72" t="s">
        <v>492</v>
      </c>
      <c r="D716" s="74" t="s">
        <v>727</v>
      </c>
      <c r="E716" s="74">
        <v>18</v>
      </c>
      <c r="F716" s="160">
        <v>3.125</v>
      </c>
      <c r="G716" s="164">
        <f>E716*F716</f>
        <v>56.25</v>
      </c>
      <c r="H716" s="164">
        <f>G716*I7</f>
        <v>4753.125</v>
      </c>
      <c r="I716" s="376"/>
    </row>
    <row r="717" spans="2:9">
      <c r="C717" s="72" t="s">
        <v>493</v>
      </c>
      <c r="D717" s="74"/>
      <c r="E717" s="74">
        <v>1</v>
      </c>
      <c r="F717" s="74">
        <v>12000</v>
      </c>
      <c r="G717" s="164">
        <f>E717*F717*1.3</f>
        <v>15600</v>
      </c>
      <c r="H717" s="164">
        <f>G717*I7</f>
        <v>1318200</v>
      </c>
      <c r="I717" s="376"/>
    </row>
    <row r="718" spans="2:9">
      <c r="C718" s="72" t="s">
        <v>494</v>
      </c>
      <c r="D718" s="74"/>
      <c r="E718" s="74">
        <v>1</v>
      </c>
      <c r="F718" s="74">
        <v>10000</v>
      </c>
      <c r="G718" s="164">
        <f>E718*F718*1.3</f>
        <v>13000</v>
      </c>
      <c r="H718" s="164">
        <f>G718*I7</f>
        <v>1098500</v>
      </c>
      <c r="I718" s="376"/>
    </row>
    <row r="719" spans="2:9">
      <c r="C719" s="72" t="s">
        <v>495</v>
      </c>
      <c r="D719" s="74"/>
      <c r="E719" s="74">
        <v>1</v>
      </c>
      <c r="F719" s="74">
        <v>15000</v>
      </c>
      <c r="G719" s="164">
        <f>E719*F719*1.3</f>
        <v>19500</v>
      </c>
      <c r="H719" s="164">
        <f>G719*I7</f>
        <v>1647750</v>
      </c>
      <c r="I719" s="376"/>
    </row>
    <row r="720" spans="2:9" s="79" customFormat="1">
      <c r="C720" s="216" t="s">
        <v>867</v>
      </c>
      <c r="D720" s="82"/>
      <c r="E720" s="82"/>
      <c r="F720" s="82"/>
      <c r="G720" s="164">
        <f>SUM(G715:G719)*25%</f>
        <v>21539.0625</v>
      </c>
      <c r="H720" s="164">
        <f>G720*I7</f>
        <v>1820050.78125</v>
      </c>
      <c r="I720" s="445"/>
    </row>
    <row r="721" spans="2:9">
      <c r="C721" s="76" t="s">
        <v>497</v>
      </c>
      <c r="D721" s="94"/>
      <c r="E721" s="132"/>
      <c r="F721" s="132"/>
      <c r="G721" s="273">
        <f>SUM(G715:G720)</f>
        <v>107695.3125</v>
      </c>
      <c r="H721" s="273">
        <f>G721*I7</f>
        <v>9100253.90625</v>
      </c>
      <c r="I721" s="376"/>
    </row>
    <row r="722" spans="2:9" ht="15.75" thickBot="1">
      <c r="C722" s="724" t="s">
        <v>1051</v>
      </c>
      <c r="D722" s="725"/>
      <c r="E722" s="725"/>
      <c r="F722" s="725"/>
      <c r="G722" s="725"/>
      <c r="H722" s="725"/>
      <c r="I722" s="726"/>
    </row>
    <row r="724" spans="2:9" ht="15.75" thickBot="1"/>
    <row r="725" spans="2:9" ht="34.5" customHeight="1">
      <c r="B725" s="79" t="str">
        <f>'Costed Impl plan'!B97</f>
        <v>2.2.4</v>
      </c>
      <c r="C725" s="704" t="str">
        <f>'Costed Impl plan'!C97</f>
        <v>Establish pediatric HIV management center in a child hospital</v>
      </c>
      <c r="D725" s="705"/>
      <c r="E725" s="705"/>
      <c r="F725" s="705"/>
      <c r="G725" s="705"/>
      <c r="H725" s="705"/>
      <c r="I725" s="706"/>
    </row>
    <row r="726" spans="2:9" ht="36" customHeight="1">
      <c r="C726" s="707" t="s">
        <v>1056</v>
      </c>
      <c r="D726" s="708"/>
      <c r="E726" s="708"/>
      <c r="F726" s="708"/>
      <c r="G726" s="708"/>
      <c r="H726" s="708"/>
      <c r="I726" s="709"/>
    </row>
    <row r="727" spans="2:9" ht="30">
      <c r="C727" s="131" t="s">
        <v>452</v>
      </c>
      <c r="D727" s="113" t="s">
        <v>703</v>
      </c>
      <c r="E727" s="113" t="s">
        <v>453</v>
      </c>
      <c r="F727" s="113" t="s">
        <v>935</v>
      </c>
      <c r="G727" s="270" t="s">
        <v>932</v>
      </c>
      <c r="H727" s="270" t="s">
        <v>933</v>
      </c>
      <c r="I727" s="375" t="s">
        <v>651</v>
      </c>
    </row>
    <row r="728" spans="2:9">
      <c r="C728" s="72" t="s">
        <v>490</v>
      </c>
      <c r="D728" s="74"/>
      <c r="E728" s="74"/>
      <c r="F728" s="74"/>
      <c r="G728" s="164"/>
      <c r="H728" s="164"/>
      <c r="I728" s="376"/>
    </row>
    <row r="729" spans="2:9">
      <c r="C729" s="72" t="s">
        <v>491</v>
      </c>
      <c r="D729" s="74" t="s">
        <v>727</v>
      </c>
      <c r="E729" s="74">
        <v>8</v>
      </c>
      <c r="F729" s="164">
        <v>3750</v>
      </c>
      <c r="G729" s="164">
        <f>E729*F729</f>
        <v>30000</v>
      </c>
      <c r="H729" s="164">
        <f>G729*I7</f>
        <v>2535000</v>
      </c>
      <c r="I729" s="376"/>
    </row>
    <row r="730" spans="2:9">
      <c r="C730" s="72" t="s">
        <v>492</v>
      </c>
      <c r="D730" s="74" t="s">
        <v>727</v>
      </c>
      <c r="E730" s="74">
        <v>186</v>
      </c>
      <c r="F730" s="160">
        <v>3.125</v>
      </c>
      <c r="G730" s="164">
        <f>E730*F730</f>
        <v>581.25</v>
      </c>
      <c r="H730" s="164">
        <f>G730*I7</f>
        <v>49115.625</v>
      </c>
      <c r="I730" s="376"/>
    </row>
    <row r="731" spans="2:9">
      <c r="C731" s="72" t="s">
        <v>493</v>
      </c>
      <c r="D731" s="74"/>
      <c r="E731" s="74">
        <v>1</v>
      </c>
      <c r="F731" s="74">
        <v>12000</v>
      </c>
      <c r="G731" s="164">
        <f>E731*F731*1.3</f>
        <v>15600</v>
      </c>
      <c r="H731" s="164">
        <f>G731*I7</f>
        <v>1318200</v>
      </c>
      <c r="I731" s="376"/>
    </row>
    <row r="732" spans="2:9">
      <c r="C732" s="72" t="s">
        <v>494</v>
      </c>
      <c r="D732" s="74"/>
      <c r="E732" s="74">
        <v>1</v>
      </c>
      <c r="F732" s="74">
        <v>10000</v>
      </c>
      <c r="G732" s="164">
        <f>E732*F732*1.3</f>
        <v>13000</v>
      </c>
      <c r="H732" s="164">
        <f>G732*I7</f>
        <v>1098500</v>
      </c>
      <c r="I732" s="376"/>
    </row>
    <row r="733" spans="2:9">
      <c r="C733" s="72" t="s">
        <v>495</v>
      </c>
      <c r="D733" s="74"/>
      <c r="E733" s="74">
        <v>1</v>
      </c>
      <c r="F733" s="74">
        <v>20000</v>
      </c>
      <c r="G733" s="164">
        <f>E733*F733*1.3</f>
        <v>26000</v>
      </c>
      <c r="H733" s="164">
        <f>G733*I7</f>
        <v>2197000</v>
      </c>
      <c r="I733" s="376"/>
    </row>
    <row r="734" spans="2:9" s="79" customFormat="1">
      <c r="C734" s="216" t="s">
        <v>867</v>
      </c>
      <c r="D734" s="82"/>
      <c r="E734" s="82"/>
      <c r="F734" s="82"/>
      <c r="G734" s="164">
        <f>SUM(G729:G733)*25%</f>
        <v>21295.3125</v>
      </c>
      <c r="H734" s="164">
        <f>G734*I7</f>
        <v>1799453.90625</v>
      </c>
      <c r="I734" s="445"/>
    </row>
    <row r="735" spans="2:9">
      <c r="C735" s="76" t="s">
        <v>497</v>
      </c>
      <c r="D735" s="94"/>
      <c r="E735" s="132"/>
      <c r="F735" s="132"/>
      <c r="G735" s="273">
        <f>SUM(G729:G734)</f>
        <v>106476.5625</v>
      </c>
      <c r="H735" s="273">
        <f>G735*I7</f>
        <v>8997269.53125</v>
      </c>
      <c r="I735" s="376"/>
    </row>
    <row r="736" spans="2:9" ht="15.75" thickBot="1">
      <c r="C736" s="710" t="s">
        <v>1031</v>
      </c>
      <c r="D736" s="711"/>
      <c r="E736" s="711"/>
      <c r="F736" s="711"/>
      <c r="G736" s="711"/>
      <c r="H736" s="711"/>
      <c r="I736" s="712"/>
    </row>
    <row r="739" spans="2:9" ht="15.75" thickBot="1"/>
    <row r="740" spans="2:9">
      <c r="B740" s="79" t="str">
        <f>'Costed Impl plan'!B100</f>
        <v>2.3.1</v>
      </c>
      <c r="C740" s="704" t="str">
        <f>'Costed Impl plan'!C100</f>
        <v>Review, update and dissemination of treatment protocol - 2 times</v>
      </c>
      <c r="D740" s="705"/>
      <c r="E740" s="705"/>
      <c r="F740" s="705"/>
      <c r="G740" s="705"/>
      <c r="H740" s="705"/>
      <c r="I740" s="706"/>
    </row>
    <row r="741" spans="2:9" ht="23.25" customHeight="1">
      <c r="B741" s="79" t="s">
        <v>357</v>
      </c>
      <c r="C741" s="707" t="s">
        <v>889</v>
      </c>
      <c r="D741" s="708"/>
      <c r="E741" s="708"/>
      <c r="F741" s="708"/>
      <c r="G741" s="708"/>
      <c r="H741" s="708"/>
      <c r="I741" s="709"/>
    </row>
    <row r="742" spans="2:9" ht="31.5" customHeight="1">
      <c r="C742" s="131" t="s">
        <v>452</v>
      </c>
      <c r="D742" s="113" t="s">
        <v>703</v>
      </c>
      <c r="E742" s="113" t="s">
        <v>453</v>
      </c>
      <c r="F742" s="113" t="s">
        <v>935</v>
      </c>
      <c r="G742" s="270" t="s">
        <v>932</v>
      </c>
      <c r="H742" s="270" t="s">
        <v>933</v>
      </c>
      <c r="I742" s="375" t="s">
        <v>651</v>
      </c>
    </row>
    <row r="743" spans="2:9">
      <c r="C743" s="77" t="s">
        <v>847</v>
      </c>
      <c r="D743" s="74"/>
      <c r="E743" s="74"/>
      <c r="F743" s="74"/>
      <c r="G743" s="164"/>
      <c r="H743" s="164"/>
      <c r="I743" s="376"/>
    </row>
    <row r="744" spans="2:9">
      <c r="C744" s="150" t="s">
        <v>714</v>
      </c>
      <c r="D744" s="74" t="s">
        <v>706</v>
      </c>
      <c r="E744" s="74">
        <v>30</v>
      </c>
      <c r="F744" s="74">
        <v>200</v>
      </c>
      <c r="G744" s="164">
        <f>E744*F744</f>
        <v>6000</v>
      </c>
      <c r="H744" s="164">
        <f>G744*I7</f>
        <v>507000</v>
      </c>
      <c r="I744" s="376"/>
    </row>
    <row r="745" spans="2:9">
      <c r="C745" s="150" t="s">
        <v>707</v>
      </c>
      <c r="D745" s="74" t="s">
        <v>708</v>
      </c>
      <c r="E745" s="74">
        <v>5</v>
      </c>
      <c r="F745" s="74">
        <f>1500/80</f>
        <v>18.75</v>
      </c>
      <c r="G745" s="164">
        <f>E745*F745</f>
        <v>93.75</v>
      </c>
      <c r="H745" s="164">
        <f>G745*I7</f>
        <v>7921.875</v>
      </c>
      <c r="I745" s="376"/>
    </row>
    <row r="746" spans="2:9" s="79" customFormat="1">
      <c r="C746" s="75" t="s">
        <v>715</v>
      </c>
      <c r="D746" s="82"/>
      <c r="E746" s="82"/>
      <c r="F746" s="82"/>
      <c r="G746" s="267">
        <f>SUM(G744:G745)</f>
        <v>6093.75</v>
      </c>
      <c r="H746" s="267">
        <f>G746*I7</f>
        <v>514921.875</v>
      </c>
      <c r="I746" s="445"/>
    </row>
    <row r="747" spans="2:9">
      <c r="C747" s="77" t="s">
        <v>729</v>
      </c>
      <c r="D747" s="74"/>
      <c r="E747" s="74"/>
      <c r="F747" s="74"/>
      <c r="G747" s="164">
        <f t="shared" ref="G747:G752" si="8">E747*F747</f>
        <v>0</v>
      </c>
      <c r="H747" s="164">
        <f>G747*I7</f>
        <v>0</v>
      </c>
      <c r="I747" s="376"/>
    </row>
    <row r="748" spans="2:9">
      <c r="C748" s="150" t="s">
        <v>716</v>
      </c>
      <c r="D748" s="74"/>
      <c r="E748" s="74">
        <v>2</v>
      </c>
      <c r="F748" s="74">
        <v>150</v>
      </c>
      <c r="G748" s="164">
        <f t="shared" si="8"/>
        <v>300</v>
      </c>
      <c r="H748" s="164">
        <f>G748*I7</f>
        <v>25350</v>
      </c>
      <c r="I748" s="376" t="s">
        <v>722</v>
      </c>
    </row>
    <row r="749" spans="2:9">
      <c r="C749" s="150" t="s">
        <v>458</v>
      </c>
      <c r="D749" s="74" t="s">
        <v>706</v>
      </c>
      <c r="E749" s="74">
        <v>10</v>
      </c>
      <c r="F749" s="74">
        <v>100</v>
      </c>
      <c r="G749" s="164">
        <f t="shared" si="8"/>
        <v>1000</v>
      </c>
      <c r="H749" s="164">
        <f>G749*I7</f>
        <v>84500</v>
      </c>
      <c r="I749" s="376"/>
    </row>
    <row r="750" spans="2:9">
      <c r="C750" s="150" t="s">
        <v>714</v>
      </c>
      <c r="D750" s="74" t="s">
        <v>706</v>
      </c>
      <c r="E750" s="74">
        <v>10</v>
      </c>
      <c r="F750" s="74">
        <v>340</v>
      </c>
      <c r="G750" s="164">
        <f t="shared" si="8"/>
        <v>3400</v>
      </c>
      <c r="H750" s="164">
        <f>G750*I7</f>
        <v>287300</v>
      </c>
      <c r="I750" s="376"/>
    </row>
    <row r="751" spans="2:9">
      <c r="C751" s="150" t="s">
        <v>717</v>
      </c>
      <c r="D751" s="74" t="s">
        <v>706</v>
      </c>
      <c r="E751" s="74">
        <v>10</v>
      </c>
      <c r="F751" s="74">
        <v>68</v>
      </c>
      <c r="G751" s="164">
        <f t="shared" si="8"/>
        <v>680</v>
      </c>
      <c r="H751" s="164">
        <f>G751*I7</f>
        <v>57460</v>
      </c>
      <c r="I751" s="376"/>
    </row>
    <row r="752" spans="2:9">
      <c r="C752" s="150" t="s">
        <v>718</v>
      </c>
      <c r="D752" s="74" t="s">
        <v>706</v>
      </c>
      <c r="E752" s="74">
        <v>10</v>
      </c>
      <c r="F752" s="74">
        <v>20</v>
      </c>
      <c r="G752" s="164">
        <f t="shared" si="8"/>
        <v>200</v>
      </c>
      <c r="H752" s="164">
        <f>G752*I7</f>
        <v>16900</v>
      </c>
      <c r="I752" s="376"/>
    </row>
    <row r="753" spans="2:9" s="79" customFormat="1">
      <c r="C753" s="75" t="s">
        <v>719</v>
      </c>
      <c r="D753" s="82"/>
      <c r="E753" s="82"/>
      <c r="F753" s="82">
        <f>SUM(F748:F752)</f>
        <v>678</v>
      </c>
      <c r="G753" s="267">
        <f>SUM(G748:G752)</f>
        <v>5580</v>
      </c>
      <c r="H753" s="267">
        <f>G753*I7</f>
        <v>471510</v>
      </c>
      <c r="I753" s="445"/>
    </row>
    <row r="754" spans="2:9" s="79" customFormat="1" ht="30">
      <c r="C754" s="259" t="s">
        <v>498</v>
      </c>
      <c r="D754" s="82" t="s">
        <v>862</v>
      </c>
      <c r="E754" s="82">
        <f>4*50</f>
        <v>200</v>
      </c>
      <c r="F754" s="241">
        <v>86.09</v>
      </c>
      <c r="G754" s="267">
        <f>E754*F754</f>
        <v>17218</v>
      </c>
      <c r="H754" s="267">
        <f>G754*I7</f>
        <v>1454921</v>
      </c>
      <c r="I754" s="441" t="s">
        <v>731</v>
      </c>
    </row>
    <row r="755" spans="2:9">
      <c r="C755" s="77" t="s">
        <v>888</v>
      </c>
      <c r="D755" s="74"/>
      <c r="E755" s="74">
        <v>500</v>
      </c>
      <c r="F755" s="74">
        <v>7.5</v>
      </c>
      <c r="G755" s="267">
        <f>E755*F755</f>
        <v>3750</v>
      </c>
      <c r="H755" s="267">
        <f>G755*I7</f>
        <v>316875</v>
      </c>
      <c r="I755" s="376"/>
    </row>
    <row r="756" spans="2:9">
      <c r="C756" s="216" t="s">
        <v>867</v>
      </c>
      <c r="D756" s="73"/>
      <c r="E756" s="74"/>
      <c r="F756" s="74"/>
      <c r="G756" s="164">
        <f>(G746+G753+G754+G755)*25%</f>
        <v>8160.4375</v>
      </c>
      <c r="H756" s="164">
        <f>G756*I7</f>
        <v>689556.96875</v>
      </c>
      <c r="I756" s="376"/>
    </row>
    <row r="757" spans="2:9">
      <c r="C757" s="76" t="s">
        <v>890</v>
      </c>
      <c r="D757" s="94"/>
      <c r="E757" s="132"/>
      <c r="F757" s="132"/>
      <c r="G757" s="273">
        <f>G746+G753+G754+G755+G756</f>
        <v>40802.1875</v>
      </c>
      <c r="H757" s="273">
        <f>G757*I7</f>
        <v>3447784.84375</v>
      </c>
      <c r="I757" s="376"/>
    </row>
    <row r="758" spans="2:9" ht="15.75" thickBot="1">
      <c r="C758" s="710" t="s">
        <v>1031</v>
      </c>
      <c r="D758" s="711"/>
      <c r="E758" s="711"/>
      <c r="F758" s="711"/>
      <c r="G758" s="711"/>
      <c r="H758" s="711"/>
      <c r="I758" s="712"/>
    </row>
    <row r="761" spans="2:9" ht="15.75" thickBot="1"/>
    <row r="762" spans="2:9" ht="15" customHeight="1">
      <c r="B762" s="79" t="str">
        <f>'Costed Impl plan'!B101</f>
        <v>2.3.2</v>
      </c>
      <c r="C762" s="704" t="str">
        <f>'Costed Impl plan'!C101</f>
        <v>Integrate HIV treatment and management in medical curriculum</v>
      </c>
      <c r="D762" s="705"/>
      <c r="E762" s="705"/>
      <c r="F762" s="705"/>
      <c r="G762" s="705"/>
      <c r="H762" s="705"/>
      <c r="I762" s="706"/>
    </row>
    <row r="763" spans="2:9" ht="27.75" customHeight="1">
      <c r="C763" s="131" t="s">
        <v>452</v>
      </c>
      <c r="D763" s="113" t="s">
        <v>703</v>
      </c>
      <c r="E763" s="113" t="s">
        <v>453</v>
      </c>
      <c r="F763" s="113" t="s">
        <v>935</v>
      </c>
      <c r="G763" s="270" t="s">
        <v>932</v>
      </c>
      <c r="H763" s="270" t="s">
        <v>933</v>
      </c>
      <c r="I763" s="375" t="s">
        <v>651</v>
      </c>
    </row>
    <row r="764" spans="2:9" s="79" customFormat="1">
      <c r="C764" s="176" t="s">
        <v>499</v>
      </c>
      <c r="D764" s="113"/>
      <c r="E764" s="82" t="s">
        <v>471</v>
      </c>
      <c r="F764" s="82"/>
      <c r="G764" s="267"/>
      <c r="H764" s="267"/>
      <c r="I764" s="445"/>
    </row>
    <row r="765" spans="2:9">
      <c r="C765" s="150" t="s">
        <v>714</v>
      </c>
      <c r="D765" s="74" t="s">
        <v>706</v>
      </c>
      <c r="E765" s="74">
        <v>40</v>
      </c>
      <c r="F765" s="74">
        <v>200</v>
      </c>
      <c r="G765" s="164">
        <f>E765*F765</f>
        <v>8000</v>
      </c>
      <c r="H765" s="164">
        <f>G765*I7</f>
        <v>676000</v>
      </c>
      <c r="I765" s="376"/>
    </row>
    <row r="766" spans="2:9">
      <c r="C766" s="150" t="s">
        <v>707</v>
      </c>
      <c r="D766" s="74" t="s">
        <v>708</v>
      </c>
      <c r="E766" s="74">
        <v>5</v>
      </c>
      <c r="F766" s="74">
        <f>1500/80</f>
        <v>18.75</v>
      </c>
      <c r="G766" s="164">
        <f>E766*F766</f>
        <v>93.75</v>
      </c>
      <c r="H766" s="164">
        <f>G766*I7</f>
        <v>7921.875</v>
      </c>
      <c r="I766" s="376"/>
    </row>
    <row r="767" spans="2:9" s="79" customFormat="1">
      <c r="C767" s="75" t="s">
        <v>715</v>
      </c>
      <c r="D767" s="82"/>
      <c r="E767" s="82"/>
      <c r="F767" s="82"/>
      <c r="G767" s="267">
        <f>SUM(G765:G766)</f>
        <v>8093.75</v>
      </c>
      <c r="H767" s="267">
        <f>G767*I7</f>
        <v>683921.875</v>
      </c>
      <c r="I767" s="445"/>
    </row>
    <row r="768" spans="2:9" s="79" customFormat="1" ht="30">
      <c r="C768" s="259" t="s">
        <v>500</v>
      </c>
      <c r="D768" s="82"/>
      <c r="E768" s="82">
        <v>100</v>
      </c>
      <c r="F768" s="241">
        <f>F754</f>
        <v>86.09</v>
      </c>
      <c r="G768" s="267">
        <f>E768*F768</f>
        <v>8609</v>
      </c>
      <c r="H768" s="267">
        <f>G768*I7</f>
        <v>727460.5</v>
      </c>
      <c r="I768" s="441" t="s">
        <v>732</v>
      </c>
    </row>
    <row r="769" spans="2:9" s="79" customFormat="1">
      <c r="C769" s="77" t="s">
        <v>487</v>
      </c>
      <c r="D769" s="82" t="s">
        <v>726</v>
      </c>
      <c r="E769" s="82">
        <v>1</v>
      </c>
      <c r="F769" s="82">
        <v>3000</v>
      </c>
      <c r="G769" s="267">
        <f>E769*F769</f>
        <v>3000</v>
      </c>
      <c r="H769" s="267">
        <f>G769*I7</f>
        <v>253500</v>
      </c>
      <c r="I769" s="445"/>
    </row>
    <row r="770" spans="2:9" s="119" customFormat="1">
      <c r="C770" s="216" t="s">
        <v>867</v>
      </c>
      <c r="D770" s="82"/>
      <c r="E770" s="82"/>
      <c r="F770" s="82"/>
      <c r="G770" s="164">
        <f>SUM(G767:G769)*25%</f>
        <v>4925.6875</v>
      </c>
      <c r="H770" s="164">
        <f>G770*I7</f>
        <v>416220.59375</v>
      </c>
      <c r="I770" s="449"/>
    </row>
    <row r="771" spans="2:9" ht="15.75" thickBot="1">
      <c r="C771" s="92" t="s">
        <v>891</v>
      </c>
      <c r="D771" s="93"/>
      <c r="E771" s="153"/>
      <c r="F771" s="153"/>
      <c r="G771" s="227">
        <f>G767+G768+G769+G770</f>
        <v>24628.4375</v>
      </c>
      <c r="H771" s="227">
        <f>G771*I7</f>
        <v>2081102.96875</v>
      </c>
      <c r="I771" s="432"/>
    </row>
    <row r="772" spans="2:9" ht="15.75" thickBot="1">
      <c r="C772" s="710" t="s">
        <v>1031</v>
      </c>
      <c r="D772" s="711"/>
      <c r="E772" s="711"/>
      <c r="F772" s="711"/>
      <c r="G772" s="711"/>
      <c r="H772" s="711"/>
      <c r="I772" s="712"/>
    </row>
    <row r="773" spans="2:9" s="146" customFormat="1">
      <c r="B773" s="79"/>
      <c r="C773" s="111"/>
      <c r="D773" s="116"/>
      <c r="E773" s="166"/>
      <c r="F773" s="166"/>
      <c r="G773" s="281"/>
      <c r="H773" s="281"/>
    </row>
    <row r="775" spans="2:9" ht="15.75" thickBot="1"/>
    <row r="776" spans="2:9" ht="15" customHeight="1">
      <c r="B776" s="79" t="str">
        <f>'Costed Impl plan'!B102</f>
        <v>2.3.3</v>
      </c>
      <c r="C776" s="704" t="str">
        <f>'Costed Impl plan'!C102</f>
        <v>Develop and maintain functional HIV treatment and management task force</v>
      </c>
      <c r="D776" s="705"/>
      <c r="E776" s="705"/>
      <c r="F776" s="705"/>
      <c r="G776" s="705"/>
      <c r="H776" s="705"/>
      <c r="I776" s="706"/>
    </row>
    <row r="777" spans="2:9" ht="28.5" customHeight="1">
      <c r="C777" s="131" t="s">
        <v>452</v>
      </c>
      <c r="D777" s="113" t="s">
        <v>703</v>
      </c>
      <c r="E777" s="113" t="s">
        <v>453</v>
      </c>
      <c r="F777" s="113" t="s">
        <v>935</v>
      </c>
      <c r="G777" s="270" t="s">
        <v>932</v>
      </c>
      <c r="H777" s="270" t="s">
        <v>933</v>
      </c>
      <c r="I777" s="375" t="s">
        <v>651</v>
      </c>
    </row>
    <row r="778" spans="2:9">
      <c r="C778" s="72" t="s">
        <v>501</v>
      </c>
      <c r="D778" s="74"/>
      <c r="E778" s="74">
        <v>1</v>
      </c>
      <c r="F778" s="162">
        <f>37.5*1.05</f>
        <v>39.375</v>
      </c>
      <c r="G778" s="164">
        <f>E778*F778</f>
        <v>39.375</v>
      </c>
      <c r="H778" s="164">
        <f>G778*I7</f>
        <v>3327.1875</v>
      </c>
      <c r="I778" s="376"/>
    </row>
    <row r="779" spans="2:9">
      <c r="C779" s="72" t="s">
        <v>487</v>
      </c>
      <c r="D779" s="74" t="s">
        <v>448</v>
      </c>
      <c r="E779" s="74">
        <v>1</v>
      </c>
      <c r="F779" s="74">
        <v>100</v>
      </c>
      <c r="G779" s="164">
        <f>E779*F779</f>
        <v>100</v>
      </c>
      <c r="H779" s="164">
        <f>G779*I7</f>
        <v>8450</v>
      </c>
      <c r="I779" s="376"/>
    </row>
    <row r="780" spans="2:9" s="90" customFormat="1">
      <c r="C780" s="216" t="s">
        <v>867</v>
      </c>
      <c r="D780" s="74"/>
      <c r="E780" s="74"/>
      <c r="F780" s="74"/>
      <c r="G780" s="164">
        <f>SUM(G778:G779)*25%</f>
        <v>34.84375</v>
      </c>
      <c r="H780" s="164">
        <f>G780*I7</f>
        <v>2944.296875</v>
      </c>
      <c r="I780" s="450"/>
    </row>
    <row r="781" spans="2:9">
      <c r="C781" s="76" t="s">
        <v>502</v>
      </c>
      <c r="D781" s="94"/>
      <c r="E781" s="132"/>
      <c r="F781" s="132"/>
      <c r="G781" s="273">
        <f>SUM(G778:G780)</f>
        <v>174.21875</v>
      </c>
      <c r="H781" s="273">
        <f>G781*I7</f>
        <v>14721.484375</v>
      </c>
      <c r="I781" s="376"/>
    </row>
    <row r="782" spans="2:9" ht="21" customHeight="1" thickBot="1">
      <c r="C782" s="710" t="s">
        <v>1031</v>
      </c>
      <c r="D782" s="711"/>
      <c r="E782" s="711"/>
      <c r="F782" s="711"/>
      <c r="G782" s="711"/>
      <c r="H782" s="711"/>
      <c r="I782" s="712"/>
    </row>
    <row r="785" spans="2:9" ht="15.75" thickBot="1"/>
    <row r="786" spans="2:9" ht="19.5" customHeight="1">
      <c r="B786" s="79" t="str">
        <f>'Costed Impl plan'!B103</f>
        <v>2.3.4</v>
      </c>
      <c r="C786" s="704" t="str">
        <f>'Costed Impl plan'!C103</f>
        <v>Develop, facilitate and maintain Professional Society of ART providers</v>
      </c>
      <c r="D786" s="705"/>
      <c r="E786" s="705"/>
      <c r="F786" s="705"/>
      <c r="G786" s="705"/>
      <c r="H786" s="705"/>
      <c r="I786" s="706"/>
    </row>
    <row r="787" spans="2:9" ht="29.25" customHeight="1">
      <c r="C787" s="131" t="s">
        <v>452</v>
      </c>
      <c r="D787" s="113" t="s">
        <v>703</v>
      </c>
      <c r="E787" s="113" t="s">
        <v>453</v>
      </c>
      <c r="F787" s="113" t="s">
        <v>935</v>
      </c>
      <c r="G787" s="270" t="s">
        <v>932</v>
      </c>
      <c r="H787" s="270" t="s">
        <v>933</v>
      </c>
      <c r="I787" s="375" t="s">
        <v>651</v>
      </c>
    </row>
    <row r="788" spans="2:9">
      <c r="C788" s="207" t="s">
        <v>733</v>
      </c>
      <c r="D788" s="74" t="s">
        <v>854</v>
      </c>
      <c r="E788" s="74">
        <v>4</v>
      </c>
      <c r="F788" s="74">
        <v>0</v>
      </c>
      <c r="G788" s="164">
        <f t="shared" ref="G788:G793" si="9">E788*F788</f>
        <v>0</v>
      </c>
      <c r="H788" s="164">
        <f>G788*I7</f>
        <v>0</v>
      </c>
      <c r="I788" s="376" t="s">
        <v>940</v>
      </c>
    </row>
    <row r="789" spans="2:9">
      <c r="C789" s="207" t="s">
        <v>734</v>
      </c>
      <c r="D789" s="74" t="s">
        <v>854</v>
      </c>
      <c r="E789" s="74">
        <v>1</v>
      </c>
      <c r="F789" s="74">
        <v>0</v>
      </c>
      <c r="G789" s="164">
        <f t="shared" si="9"/>
        <v>0</v>
      </c>
      <c r="H789" s="164">
        <f>G789*I7</f>
        <v>0</v>
      </c>
      <c r="I789" s="376"/>
    </row>
    <row r="790" spans="2:9">
      <c r="C790" s="207" t="s">
        <v>735</v>
      </c>
      <c r="D790" s="74" t="s">
        <v>854</v>
      </c>
      <c r="E790" s="74">
        <v>1</v>
      </c>
      <c r="F790" s="74">
        <v>0</v>
      </c>
      <c r="G790" s="164">
        <f t="shared" si="9"/>
        <v>0</v>
      </c>
      <c r="H790" s="164">
        <f>G790*I7</f>
        <v>0</v>
      </c>
      <c r="I790" s="376"/>
    </row>
    <row r="791" spans="2:9">
      <c r="C791" s="207" t="s">
        <v>736</v>
      </c>
      <c r="D791" s="74" t="s">
        <v>854</v>
      </c>
      <c r="E791" s="74">
        <v>1</v>
      </c>
      <c r="F791" s="74">
        <v>0</v>
      </c>
      <c r="G791" s="164">
        <f t="shared" si="9"/>
        <v>0</v>
      </c>
      <c r="H791" s="164">
        <f>G791*I7</f>
        <v>0</v>
      </c>
      <c r="I791" s="376"/>
    </row>
    <row r="792" spans="2:9">
      <c r="C792" s="207" t="s">
        <v>737</v>
      </c>
      <c r="D792" s="74" t="s">
        <v>854</v>
      </c>
      <c r="E792" s="74">
        <v>1</v>
      </c>
      <c r="F792" s="74">
        <v>0</v>
      </c>
      <c r="G792" s="164">
        <f t="shared" si="9"/>
        <v>0</v>
      </c>
      <c r="H792" s="164">
        <f>G792*I7</f>
        <v>0</v>
      </c>
      <c r="I792" s="376"/>
    </row>
    <row r="793" spans="2:9">
      <c r="C793" s="207" t="s">
        <v>503</v>
      </c>
      <c r="D793" s="74" t="s">
        <v>854</v>
      </c>
      <c r="E793" s="74">
        <v>1</v>
      </c>
      <c r="F793" s="74">
        <v>0</v>
      </c>
      <c r="G793" s="164">
        <f t="shared" si="9"/>
        <v>0</v>
      </c>
      <c r="H793" s="164">
        <f>G793*I7</f>
        <v>0</v>
      </c>
      <c r="I793" s="376"/>
    </row>
    <row r="794" spans="2:9">
      <c r="B794" s="83"/>
      <c r="C794" s="216" t="s">
        <v>867</v>
      </c>
      <c r="D794" s="74"/>
      <c r="E794" s="74"/>
      <c r="F794" s="74"/>
      <c r="G794" s="164">
        <f>SUM(G788:G793)*25%</f>
        <v>0</v>
      </c>
      <c r="H794" s="164">
        <f>G794*I7</f>
        <v>0</v>
      </c>
      <c r="I794" s="376"/>
    </row>
    <row r="795" spans="2:9">
      <c r="C795" s="76" t="s">
        <v>463</v>
      </c>
      <c r="D795" s="94"/>
      <c r="E795" s="132"/>
      <c r="F795" s="132"/>
      <c r="G795" s="273">
        <f>SUM(G788:G794)</f>
        <v>0</v>
      </c>
      <c r="H795" s="273">
        <f>G795*I7</f>
        <v>0</v>
      </c>
      <c r="I795" s="376"/>
    </row>
    <row r="796" spans="2:9" ht="15" customHeight="1" thickBot="1">
      <c r="C796" s="710" t="s">
        <v>1031</v>
      </c>
      <c r="D796" s="711"/>
      <c r="E796" s="711"/>
      <c r="F796" s="711"/>
      <c r="G796" s="711"/>
      <c r="H796" s="711"/>
      <c r="I796" s="712"/>
    </row>
    <row r="797" spans="2:9">
      <c r="C797" s="79"/>
      <c r="D797" s="95"/>
      <c r="G797" s="228"/>
      <c r="H797" s="228"/>
    </row>
    <row r="798" spans="2:9">
      <c r="C798" s="79"/>
      <c r="D798" s="95"/>
      <c r="G798" s="228"/>
      <c r="H798" s="228"/>
    </row>
    <row r="799" spans="2:9">
      <c r="B799" s="79" t="str">
        <f>'Costed Impl plan'!B106</f>
        <v>2.4.1</v>
      </c>
      <c r="C799" s="79" t="str">
        <f>'Costed Impl plan'!C106</f>
        <v>Implement comprehensive care plan model</v>
      </c>
      <c r="D799" s="95"/>
      <c r="G799" s="228"/>
      <c r="H799" s="228"/>
    </row>
    <row r="800" spans="2:9" ht="15.75" thickBot="1"/>
    <row r="801" spans="2:9">
      <c r="B801" s="79" t="str">
        <f>'Costed Impl plan'!B107</f>
        <v>2.4.1.1</v>
      </c>
      <c r="C801" s="704" t="str">
        <f>'Costed Impl plan'!C107</f>
        <v>Develop/update protocol for care and support</v>
      </c>
      <c r="D801" s="705"/>
      <c r="E801" s="705"/>
      <c r="F801" s="705"/>
      <c r="G801" s="705"/>
      <c r="H801" s="705"/>
      <c r="I801" s="706"/>
    </row>
    <row r="802" spans="2:9" ht="31.5" customHeight="1">
      <c r="C802" s="131" t="s">
        <v>452</v>
      </c>
      <c r="D802" s="113" t="s">
        <v>703</v>
      </c>
      <c r="E802" s="113" t="s">
        <v>453</v>
      </c>
      <c r="F802" s="113" t="s">
        <v>935</v>
      </c>
      <c r="G802" s="270" t="s">
        <v>932</v>
      </c>
      <c r="H802" s="270" t="s">
        <v>933</v>
      </c>
      <c r="I802" s="375" t="s">
        <v>651</v>
      </c>
    </row>
    <row r="803" spans="2:9">
      <c r="C803" s="77" t="s">
        <v>738</v>
      </c>
      <c r="D803" s="74"/>
      <c r="E803" s="74"/>
      <c r="F803" s="74"/>
      <c r="G803" s="164"/>
      <c r="H803" s="164"/>
      <c r="I803" s="376"/>
    </row>
    <row r="804" spans="2:9">
      <c r="C804" s="150" t="s">
        <v>714</v>
      </c>
      <c r="D804" s="74" t="s">
        <v>706</v>
      </c>
      <c r="E804" s="74">
        <v>45</v>
      </c>
      <c r="F804" s="74">
        <v>200</v>
      </c>
      <c r="G804" s="164">
        <f>E804*F804</f>
        <v>9000</v>
      </c>
      <c r="H804" s="164">
        <f>G804*I7</f>
        <v>760500</v>
      </c>
      <c r="I804" s="376"/>
    </row>
    <row r="805" spans="2:9">
      <c r="C805" s="150" t="s">
        <v>707</v>
      </c>
      <c r="D805" s="74" t="s">
        <v>708</v>
      </c>
      <c r="E805" s="74">
        <v>5</v>
      </c>
      <c r="F805" s="74">
        <f>1500/80</f>
        <v>18.75</v>
      </c>
      <c r="G805" s="164">
        <f>E805*F805</f>
        <v>93.75</v>
      </c>
      <c r="H805" s="164">
        <f>G805*I7</f>
        <v>7921.875</v>
      </c>
      <c r="I805" s="376"/>
    </row>
    <row r="806" spans="2:9" s="79" customFormat="1">
      <c r="C806" s="75" t="s">
        <v>715</v>
      </c>
      <c r="D806" s="82"/>
      <c r="E806" s="82"/>
      <c r="F806" s="82"/>
      <c r="G806" s="267">
        <f>SUM(G804:G805)</f>
        <v>9093.75</v>
      </c>
      <c r="H806" s="267">
        <f>G806*I7</f>
        <v>768421.875</v>
      </c>
      <c r="I806" s="445"/>
    </row>
    <row r="807" spans="2:9" s="79" customFormat="1" ht="30">
      <c r="C807" s="259" t="s">
        <v>498</v>
      </c>
      <c r="D807" s="82" t="s">
        <v>730</v>
      </c>
      <c r="E807" s="82">
        <v>80</v>
      </c>
      <c r="F807" s="241">
        <v>40</v>
      </c>
      <c r="G807" s="267">
        <f>E807*F807</f>
        <v>3200</v>
      </c>
      <c r="H807" s="267">
        <f>G807*I7</f>
        <v>270400</v>
      </c>
      <c r="I807" s="441" t="s">
        <v>739</v>
      </c>
    </row>
    <row r="808" spans="2:9">
      <c r="C808" s="77" t="s">
        <v>892</v>
      </c>
      <c r="D808" s="74"/>
      <c r="E808" s="74">
        <v>500</v>
      </c>
      <c r="F808" s="74">
        <v>5</v>
      </c>
      <c r="G808" s="267">
        <f>E808*F808</f>
        <v>2500</v>
      </c>
      <c r="H808" s="267">
        <f>G808*I7</f>
        <v>211250</v>
      </c>
      <c r="I808" s="376"/>
    </row>
    <row r="809" spans="2:9">
      <c r="B809" s="83"/>
      <c r="C809" s="216" t="s">
        <v>867</v>
      </c>
      <c r="D809" s="74"/>
      <c r="E809" s="74"/>
      <c r="F809" s="74"/>
      <c r="G809" s="164">
        <f>(G806+G807+G808)*25%</f>
        <v>3698.4375</v>
      </c>
      <c r="H809" s="164">
        <f>G809*I7</f>
        <v>312517.96875</v>
      </c>
      <c r="I809" s="376"/>
    </row>
    <row r="810" spans="2:9">
      <c r="C810" s="76" t="s">
        <v>466</v>
      </c>
      <c r="D810" s="94"/>
      <c r="E810" s="132"/>
      <c r="F810" s="132"/>
      <c r="G810" s="273">
        <f>G806+G807+G808+G809</f>
        <v>18492.1875</v>
      </c>
      <c r="H810" s="273">
        <f>G810*I7</f>
        <v>1562589.84375</v>
      </c>
      <c r="I810" s="376"/>
    </row>
    <row r="811" spans="2:9" ht="15.75" thickBot="1">
      <c r="C811" s="710" t="s">
        <v>1031</v>
      </c>
      <c r="D811" s="711"/>
      <c r="E811" s="711"/>
      <c r="F811" s="711"/>
      <c r="G811" s="711"/>
      <c r="H811" s="711"/>
      <c r="I811" s="712"/>
    </row>
    <row r="813" spans="2:9" s="146" customFormat="1">
      <c r="B813" s="79"/>
      <c r="C813" s="111"/>
      <c r="D813" s="116"/>
      <c r="E813" s="166"/>
      <c r="F813" s="166"/>
      <c r="G813" s="281"/>
      <c r="H813" s="281"/>
    </row>
    <row r="814" spans="2:9" ht="15.75" thickBot="1">
      <c r="C814" s="79"/>
      <c r="D814" s="95"/>
      <c r="G814" s="228"/>
      <c r="H814" s="228"/>
    </row>
    <row r="815" spans="2:9" ht="15" customHeight="1">
      <c r="B815" s="79" t="str">
        <f>'Costed Impl plan'!B108</f>
        <v>2.4.1.2</v>
      </c>
      <c r="C815" s="704" t="str">
        <f>'Costed Impl plan'!C108</f>
        <v>Conduct capacity buidling for care providers</v>
      </c>
      <c r="D815" s="705"/>
      <c r="E815" s="705"/>
      <c r="F815" s="705"/>
      <c r="G815" s="705"/>
      <c r="H815" s="705"/>
      <c r="I815" s="706"/>
    </row>
    <row r="816" spans="2:9">
      <c r="B816" s="167"/>
      <c r="C816" s="72" t="s">
        <v>504</v>
      </c>
      <c r="D816" s="74"/>
      <c r="E816" s="74"/>
      <c r="F816" s="74"/>
      <c r="G816" s="164"/>
      <c r="H816" s="164"/>
      <c r="I816" s="376"/>
    </row>
    <row r="817" spans="2:9" ht="28.5" customHeight="1">
      <c r="C817" s="131" t="s">
        <v>452</v>
      </c>
      <c r="D817" s="113" t="s">
        <v>703</v>
      </c>
      <c r="E817" s="113" t="s">
        <v>453</v>
      </c>
      <c r="F817" s="113" t="s">
        <v>935</v>
      </c>
      <c r="G817" s="270" t="s">
        <v>932</v>
      </c>
      <c r="H817" s="270" t="s">
        <v>933</v>
      </c>
      <c r="I817" s="375" t="s">
        <v>651</v>
      </c>
    </row>
    <row r="818" spans="2:9">
      <c r="C818" s="72" t="s">
        <v>740</v>
      </c>
      <c r="D818" s="74" t="s">
        <v>746</v>
      </c>
      <c r="E818" s="74">
        <v>3</v>
      </c>
      <c r="F818" s="160">
        <v>60</v>
      </c>
      <c r="G818" s="164">
        <f>E818*F818</f>
        <v>180</v>
      </c>
      <c r="H818" s="164">
        <f xml:space="preserve"> G818*I7</f>
        <v>15210</v>
      </c>
      <c r="I818" s="376"/>
    </row>
    <row r="819" spans="2:9">
      <c r="C819" s="72" t="s">
        <v>741</v>
      </c>
      <c r="D819" s="74" t="s">
        <v>747</v>
      </c>
      <c r="E819" s="74">
        <f>3*20</f>
        <v>60</v>
      </c>
      <c r="F819" s="160">
        <v>2.5</v>
      </c>
      <c r="G819" s="164">
        <f t="shared" ref="G819:G825" si="10">E819*F819</f>
        <v>150</v>
      </c>
      <c r="H819" s="164">
        <f xml:space="preserve"> G819*I7</f>
        <v>12675</v>
      </c>
      <c r="I819" s="376"/>
    </row>
    <row r="820" spans="2:9">
      <c r="C820" s="72" t="s">
        <v>742</v>
      </c>
      <c r="D820" s="74" t="s">
        <v>747</v>
      </c>
      <c r="E820" s="74">
        <f>20*4</f>
        <v>80</v>
      </c>
      <c r="F820" s="160">
        <v>18</v>
      </c>
      <c r="G820" s="164">
        <f t="shared" si="10"/>
        <v>1440</v>
      </c>
      <c r="H820" s="164">
        <f xml:space="preserve"> G820*I7</f>
        <v>121680</v>
      </c>
      <c r="I820" s="376"/>
    </row>
    <row r="821" spans="2:9">
      <c r="C821" s="72" t="s">
        <v>713</v>
      </c>
      <c r="D821" s="74" t="s">
        <v>748</v>
      </c>
      <c r="E821" s="74">
        <v>20</v>
      </c>
      <c r="F821" s="160">
        <v>15.641025641025641</v>
      </c>
      <c r="G821" s="164">
        <f t="shared" si="10"/>
        <v>312.82051282051282</v>
      </c>
      <c r="H821" s="164">
        <f xml:space="preserve"> G821*I7</f>
        <v>26433.333333333332</v>
      </c>
      <c r="I821" s="376"/>
    </row>
    <row r="822" spans="2:9">
      <c r="C822" s="72" t="s">
        <v>743</v>
      </c>
      <c r="D822" s="74" t="s">
        <v>748</v>
      </c>
      <c r="E822" s="74">
        <v>20</v>
      </c>
      <c r="F822" s="160">
        <v>0.8125</v>
      </c>
      <c r="G822" s="164">
        <f t="shared" si="10"/>
        <v>16.25</v>
      </c>
      <c r="H822" s="164">
        <f xml:space="preserve"> G822*I7</f>
        <v>1373.125</v>
      </c>
      <c r="I822" s="376"/>
    </row>
    <row r="823" spans="2:9">
      <c r="C823" s="72" t="s">
        <v>744</v>
      </c>
      <c r="D823" s="74" t="s">
        <v>748</v>
      </c>
      <c r="E823" s="74">
        <v>20</v>
      </c>
      <c r="F823" s="160">
        <v>0.75</v>
      </c>
      <c r="G823" s="164">
        <f t="shared" si="10"/>
        <v>15</v>
      </c>
      <c r="H823" s="164">
        <f xml:space="preserve"> G823*I7</f>
        <v>1267.5</v>
      </c>
      <c r="I823" s="376"/>
    </row>
    <row r="824" spans="2:9">
      <c r="C824" s="72" t="s">
        <v>745</v>
      </c>
      <c r="D824" s="74" t="s">
        <v>746</v>
      </c>
      <c r="E824" s="74">
        <v>3</v>
      </c>
      <c r="F824" s="160">
        <v>37.5</v>
      </c>
      <c r="G824" s="164">
        <f t="shared" si="10"/>
        <v>112.5</v>
      </c>
      <c r="H824" s="164">
        <f xml:space="preserve"> G824*I7</f>
        <v>9506.25</v>
      </c>
      <c r="I824" s="376"/>
    </row>
    <row r="825" spans="2:9">
      <c r="C825" s="72" t="s">
        <v>505</v>
      </c>
      <c r="D825" s="74" t="s">
        <v>749</v>
      </c>
      <c r="E825" s="74">
        <v>1</v>
      </c>
      <c r="F825" s="160">
        <v>4</v>
      </c>
      <c r="G825" s="164">
        <f t="shared" si="10"/>
        <v>4</v>
      </c>
      <c r="H825" s="164">
        <f xml:space="preserve"> G825*I7</f>
        <v>338</v>
      </c>
      <c r="I825" s="376"/>
    </row>
    <row r="826" spans="2:9">
      <c r="B826" s="83"/>
      <c r="C826" s="216" t="s">
        <v>867</v>
      </c>
      <c r="D826" s="74"/>
      <c r="E826" s="74"/>
      <c r="F826" s="78"/>
      <c r="G826" s="164">
        <f>SUM(G818:G825)*25%</f>
        <v>557.64262820512818</v>
      </c>
      <c r="H826" s="164">
        <f xml:space="preserve"> G826*I7</f>
        <v>47120.802083333328</v>
      </c>
      <c r="I826" s="376"/>
    </row>
    <row r="827" spans="2:9" s="79" customFormat="1">
      <c r="C827" s="216" t="s">
        <v>893</v>
      </c>
      <c r="D827" s="82"/>
      <c r="E827" s="82"/>
      <c r="F827" s="210"/>
      <c r="G827" s="267">
        <f>SUM(G818:G826)*1.05</f>
        <v>2927.6237980769229</v>
      </c>
      <c r="H827" s="267">
        <f xml:space="preserve"> G827*I7</f>
        <v>247384.21093749997</v>
      </c>
      <c r="I827" s="377"/>
    </row>
    <row r="828" spans="2:9">
      <c r="C828" s="76" t="s">
        <v>506</v>
      </c>
      <c r="D828" s="94"/>
      <c r="E828" s="132"/>
      <c r="F828" s="132"/>
      <c r="G828" s="273">
        <f>G827/20</f>
        <v>146.38118990384615</v>
      </c>
      <c r="H828" s="273">
        <f xml:space="preserve"> G828*I7</f>
        <v>12369.210546875</v>
      </c>
      <c r="I828" s="376"/>
    </row>
    <row r="829" spans="2:9" ht="15" customHeight="1" thickBot="1">
      <c r="C829" s="710" t="s">
        <v>1031</v>
      </c>
      <c r="D829" s="711"/>
      <c r="E829" s="711"/>
      <c r="F829" s="711"/>
      <c r="G829" s="711"/>
      <c r="H829" s="711"/>
      <c r="I829" s="712"/>
    </row>
    <row r="832" spans="2:9" ht="15.75" thickBot="1"/>
    <row r="833" spans="2:9" ht="20.25" customHeight="1">
      <c r="B833" s="79" t="str">
        <f>'Costed Impl plan'!B109</f>
        <v>2.4.1.3</v>
      </c>
      <c r="C833" s="704" t="str">
        <f>'Costed Impl plan'!C109</f>
        <v>Map support services for care and support with required local level advocacy</v>
      </c>
      <c r="D833" s="705"/>
      <c r="E833" s="705"/>
      <c r="F833" s="705"/>
      <c r="G833" s="705"/>
      <c r="H833" s="705"/>
      <c r="I833" s="706"/>
    </row>
    <row r="834" spans="2:9" ht="35.25" customHeight="1">
      <c r="C834" s="707" t="s">
        <v>750</v>
      </c>
      <c r="D834" s="708"/>
      <c r="E834" s="708"/>
      <c r="F834" s="708"/>
      <c r="G834" s="708"/>
      <c r="H834" s="708"/>
      <c r="I834" s="709"/>
    </row>
    <row r="835" spans="2:9" ht="30.75" customHeight="1">
      <c r="C835" s="131" t="s">
        <v>452</v>
      </c>
      <c r="D835" s="113" t="s">
        <v>703</v>
      </c>
      <c r="E835" s="113" t="s">
        <v>453</v>
      </c>
      <c r="F835" s="113" t="s">
        <v>935</v>
      </c>
      <c r="G835" s="270" t="s">
        <v>932</v>
      </c>
      <c r="H835" s="270" t="s">
        <v>933</v>
      </c>
      <c r="I835" s="375" t="s">
        <v>651</v>
      </c>
    </row>
    <row r="836" spans="2:9">
      <c r="C836" s="77" t="s">
        <v>738</v>
      </c>
      <c r="D836" s="74"/>
      <c r="E836" s="74"/>
      <c r="F836" s="74"/>
      <c r="G836" s="164"/>
      <c r="H836" s="164"/>
      <c r="I836" s="376"/>
    </row>
    <row r="837" spans="2:9">
      <c r="C837" s="150" t="s">
        <v>714</v>
      </c>
      <c r="D837" s="74" t="s">
        <v>706</v>
      </c>
      <c r="E837" s="74">
        <v>40</v>
      </c>
      <c r="F837" s="74">
        <v>200</v>
      </c>
      <c r="G837" s="164">
        <f>E837*F837</f>
        <v>8000</v>
      </c>
      <c r="H837" s="164">
        <f>G837*I7</f>
        <v>676000</v>
      </c>
      <c r="I837" s="376" t="s">
        <v>751</v>
      </c>
    </row>
    <row r="838" spans="2:9">
      <c r="C838" s="150" t="s">
        <v>707</v>
      </c>
      <c r="D838" s="74" t="s">
        <v>706</v>
      </c>
      <c r="E838" s="74">
        <f>3*7</f>
        <v>21</v>
      </c>
      <c r="F838" s="74">
        <f>1500/80</f>
        <v>18.75</v>
      </c>
      <c r="G838" s="164">
        <f>E838*F838</f>
        <v>393.75</v>
      </c>
      <c r="H838" s="164">
        <f>G838*I7</f>
        <v>33271.875</v>
      </c>
      <c r="I838" s="376" t="s">
        <v>752</v>
      </c>
    </row>
    <row r="839" spans="2:9" s="79" customFormat="1">
      <c r="C839" s="216" t="s">
        <v>867</v>
      </c>
      <c r="D839" s="82"/>
      <c r="E839" s="82"/>
      <c r="F839" s="82"/>
      <c r="G839" s="267">
        <f>SUM(G837:G838)*25%</f>
        <v>2098.4375</v>
      </c>
      <c r="H839" s="267">
        <f>G839*I7</f>
        <v>177317.96875</v>
      </c>
      <c r="I839" s="445"/>
    </row>
    <row r="840" spans="2:9" s="79" customFormat="1" ht="15.75" thickBot="1">
      <c r="C840" s="217" t="s">
        <v>579</v>
      </c>
      <c r="D840" s="218"/>
      <c r="E840" s="218"/>
      <c r="F840" s="218"/>
      <c r="G840" s="280">
        <f>SUM(G837:G839)</f>
        <v>10492.1875</v>
      </c>
      <c r="H840" s="280">
        <f>G840*I7</f>
        <v>886589.84375</v>
      </c>
      <c r="I840" s="451"/>
    </row>
    <row r="841" spans="2:9" ht="15" customHeight="1" thickBot="1">
      <c r="C841" s="710" t="s">
        <v>1031</v>
      </c>
      <c r="D841" s="711"/>
      <c r="E841" s="711"/>
      <c r="F841" s="711"/>
      <c r="G841" s="711"/>
      <c r="H841" s="711"/>
      <c r="I841" s="712"/>
    </row>
    <row r="842" spans="2:9">
      <c r="C842" s="79"/>
      <c r="D842" s="95"/>
      <c r="G842" s="228"/>
      <c r="H842" s="228"/>
    </row>
    <row r="843" spans="2:9">
      <c r="C843" s="79"/>
      <c r="D843" s="95"/>
      <c r="G843" s="228"/>
      <c r="H843" s="228"/>
    </row>
    <row r="844" spans="2:9" ht="15.75" thickBot="1">
      <c r="C844" s="79"/>
      <c r="D844" s="95"/>
      <c r="G844" s="228"/>
      <c r="H844" s="228"/>
    </row>
    <row r="845" spans="2:9" ht="21" customHeight="1">
      <c r="B845" s="79" t="str">
        <f>'Costed Impl plan'!B110</f>
        <v>2.4.1.4</v>
      </c>
      <c r="C845" s="704" t="str">
        <f>'Costed Impl plan'!C110</f>
        <v>Number of PLHIV enrolled in HIV care</v>
      </c>
      <c r="D845" s="705"/>
      <c r="E845" s="705"/>
      <c r="F845" s="705"/>
      <c r="G845" s="705"/>
      <c r="H845" s="705"/>
      <c r="I845" s="706"/>
    </row>
    <row r="846" spans="2:9" ht="18" customHeight="1">
      <c r="C846" s="728"/>
      <c r="D846" s="729"/>
      <c r="E846" s="729"/>
      <c r="F846" s="729"/>
      <c r="G846" s="729"/>
      <c r="H846" s="221"/>
      <c r="I846" s="376"/>
    </row>
    <row r="847" spans="2:9">
      <c r="C847" s="76" t="s">
        <v>506</v>
      </c>
      <c r="D847" s="94"/>
      <c r="E847" s="132"/>
      <c r="F847" s="132"/>
      <c r="G847" s="273">
        <v>0</v>
      </c>
      <c r="H847" s="273">
        <f>G847*I7</f>
        <v>0</v>
      </c>
      <c r="I847" s="376"/>
    </row>
    <row r="848" spans="2:9" ht="15.75" thickBot="1">
      <c r="C848" s="710" t="s">
        <v>1031</v>
      </c>
      <c r="D848" s="711"/>
      <c r="E848" s="711"/>
      <c r="F848" s="711"/>
      <c r="G848" s="711"/>
      <c r="H848" s="711"/>
      <c r="I848" s="712"/>
    </row>
    <row r="849" spans="2:9" ht="15.75" thickBot="1"/>
    <row r="850" spans="2:9" ht="21" customHeight="1">
      <c r="B850" s="79" t="str">
        <f>'Costed Impl plan'!B111</f>
        <v>2.4.1.5</v>
      </c>
      <c r="C850" s="704" t="str">
        <f>'Costed Impl plan'!C111</f>
        <v>Number of CABA and OVC enrolled in care and support</v>
      </c>
      <c r="D850" s="705"/>
      <c r="E850" s="705"/>
      <c r="F850" s="705"/>
      <c r="G850" s="705"/>
      <c r="H850" s="705"/>
      <c r="I850" s="706"/>
    </row>
    <row r="851" spans="2:9" ht="18" customHeight="1">
      <c r="C851" s="728"/>
      <c r="D851" s="729"/>
      <c r="E851" s="729"/>
      <c r="F851" s="729"/>
      <c r="G851" s="729"/>
      <c r="H851" s="221"/>
      <c r="I851" s="376"/>
    </row>
    <row r="852" spans="2:9">
      <c r="C852" s="76" t="s">
        <v>506</v>
      </c>
      <c r="D852" s="94"/>
      <c r="E852" s="132"/>
      <c r="F852" s="132"/>
      <c r="G852" s="273">
        <v>20</v>
      </c>
      <c r="H852" s="633">
        <f>G852*I7</f>
        <v>1690</v>
      </c>
      <c r="I852" s="376"/>
    </row>
    <row r="853" spans="2:9" ht="15.75" thickBot="1">
      <c r="C853" s="710" t="s">
        <v>1135</v>
      </c>
      <c r="D853" s="711"/>
      <c r="E853" s="711"/>
      <c r="F853" s="711"/>
      <c r="G853" s="711"/>
      <c r="H853" s="711"/>
      <c r="I853" s="712"/>
    </row>
    <row r="855" spans="2:9">
      <c r="B855" s="79" t="str">
        <f>'Costed Impl plan'!B112</f>
        <v>2.4.2</v>
      </c>
      <c r="C855" s="79" t="str">
        <f>'Costed Impl plan'!C112</f>
        <v>Strengthen capacity of PLHIV organisations to take lead role in care and support coordination</v>
      </c>
      <c r="D855" s="95"/>
    </row>
    <row r="856" spans="2:9" ht="15.75" thickBot="1"/>
    <row r="857" spans="2:9" ht="20.25" customHeight="1">
      <c r="B857" s="79" t="str">
        <f>'Costed Impl plan'!B113</f>
        <v>2.4.2.1</v>
      </c>
      <c r="C857" s="704" t="str">
        <f>'Costed Impl plan'!C113</f>
        <v>Conduct training for PLHIV groups</v>
      </c>
      <c r="D857" s="705"/>
      <c r="E857" s="705"/>
      <c r="F857" s="705"/>
      <c r="G857" s="705"/>
      <c r="H857" s="705"/>
      <c r="I857" s="706"/>
    </row>
    <row r="858" spans="2:9" ht="27.75" customHeight="1">
      <c r="C858" s="707" t="s">
        <v>507</v>
      </c>
      <c r="D858" s="708"/>
      <c r="E858" s="708"/>
      <c r="F858" s="708"/>
      <c r="G858" s="708"/>
      <c r="H858" s="708"/>
      <c r="I858" s="709"/>
    </row>
    <row r="859" spans="2:9">
      <c r="B859" s="167"/>
      <c r="C859" s="72" t="s">
        <v>504</v>
      </c>
      <c r="D859" s="74"/>
      <c r="E859" s="74"/>
      <c r="F859" s="74"/>
      <c r="G859" s="164"/>
      <c r="H859" s="164"/>
      <c r="I859" s="376"/>
    </row>
    <row r="860" spans="2:9" ht="27" customHeight="1">
      <c r="C860" s="131" t="s">
        <v>452</v>
      </c>
      <c r="D860" s="113" t="s">
        <v>703</v>
      </c>
      <c r="E860" s="113" t="s">
        <v>453</v>
      </c>
      <c r="F860" s="113" t="s">
        <v>935</v>
      </c>
      <c r="G860" s="270" t="s">
        <v>932</v>
      </c>
      <c r="H860" s="270" t="s">
        <v>933</v>
      </c>
      <c r="I860" s="375" t="s">
        <v>651</v>
      </c>
    </row>
    <row r="861" spans="2:9">
      <c r="C861" s="72" t="s">
        <v>740</v>
      </c>
      <c r="D861" s="74" t="s">
        <v>746</v>
      </c>
      <c r="E861" s="74">
        <v>3</v>
      </c>
      <c r="F861" s="160">
        <v>60</v>
      </c>
      <c r="G861" s="164">
        <f>E861*F861</f>
        <v>180</v>
      </c>
      <c r="H861" s="164">
        <f>G861*I7</f>
        <v>15210</v>
      </c>
      <c r="I861" s="376"/>
    </row>
    <row r="862" spans="2:9">
      <c r="C862" s="72" t="s">
        <v>741</v>
      </c>
      <c r="D862" s="74" t="s">
        <v>747</v>
      </c>
      <c r="E862" s="74">
        <f>3*20</f>
        <v>60</v>
      </c>
      <c r="F862" s="160">
        <v>2.5</v>
      </c>
      <c r="G862" s="164">
        <f t="shared" ref="G862:G867" si="11">E862*F862</f>
        <v>150</v>
      </c>
      <c r="H862" s="164">
        <f>G862*I7</f>
        <v>12675</v>
      </c>
      <c r="I862" s="376"/>
    </row>
    <row r="863" spans="2:9">
      <c r="C863" s="72" t="s">
        <v>742</v>
      </c>
      <c r="D863" s="74" t="s">
        <v>747</v>
      </c>
      <c r="E863" s="74">
        <f>20*4</f>
        <v>80</v>
      </c>
      <c r="F863" s="160">
        <v>18</v>
      </c>
      <c r="G863" s="164">
        <f t="shared" si="11"/>
        <v>1440</v>
      </c>
      <c r="H863" s="164">
        <f>G863*I7</f>
        <v>121680</v>
      </c>
      <c r="I863" s="376"/>
    </row>
    <row r="864" spans="2:9">
      <c r="C864" s="72" t="s">
        <v>713</v>
      </c>
      <c r="D864" s="74" t="s">
        <v>748</v>
      </c>
      <c r="E864" s="74">
        <v>20</v>
      </c>
      <c r="F864" s="160">
        <v>15.641025641025641</v>
      </c>
      <c r="G864" s="164">
        <f t="shared" si="11"/>
        <v>312.82051282051282</v>
      </c>
      <c r="H864" s="164">
        <f>G864*I7</f>
        <v>26433.333333333332</v>
      </c>
      <c r="I864" s="376"/>
    </row>
    <row r="865" spans="2:9">
      <c r="C865" s="72" t="s">
        <v>743</v>
      </c>
      <c r="D865" s="74" t="s">
        <v>748</v>
      </c>
      <c r="E865" s="74">
        <v>20</v>
      </c>
      <c r="F865" s="160">
        <v>0.8125</v>
      </c>
      <c r="G865" s="164">
        <f t="shared" si="11"/>
        <v>16.25</v>
      </c>
      <c r="H865" s="164">
        <f>G865*I7</f>
        <v>1373.125</v>
      </c>
      <c r="I865" s="376"/>
    </row>
    <row r="866" spans="2:9">
      <c r="C866" s="72" t="s">
        <v>744</v>
      </c>
      <c r="D866" s="74" t="s">
        <v>748</v>
      </c>
      <c r="E866" s="74">
        <v>20</v>
      </c>
      <c r="F866" s="160">
        <v>0.75</v>
      </c>
      <c r="G866" s="164">
        <f t="shared" si="11"/>
        <v>15</v>
      </c>
      <c r="H866" s="164">
        <f>G866*I7</f>
        <v>1267.5</v>
      </c>
      <c r="I866" s="376"/>
    </row>
    <row r="867" spans="2:9">
      <c r="C867" s="72" t="s">
        <v>745</v>
      </c>
      <c r="D867" s="74" t="s">
        <v>746</v>
      </c>
      <c r="E867" s="74">
        <v>3</v>
      </c>
      <c r="F867" s="160">
        <v>37.5</v>
      </c>
      <c r="G867" s="164">
        <f t="shared" si="11"/>
        <v>112.5</v>
      </c>
      <c r="H867" s="164">
        <f>G867*I7</f>
        <v>9506.25</v>
      </c>
      <c r="I867" s="376"/>
    </row>
    <row r="868" spans="2:9">
      <c r="B868" s="83"/>
      <c r="C868" s="216" t="s">
        <v>867</v>
      </c>
      <c r="D868" s="74"/>
      <c r="E868" s="74"/>
      <c r="F868" s="160"/>
      <c r="G868" s="164">
        <f>SUM(G860:G867)*25%</f>
        <v>556.64262820512818</v>
      </c>
      <c r="H868" s="164">
        <f>G868*I7</f>
        <v>47036.302083333328</v>
      </c>
      <c r="I868" s="376"/>
    </row>
    <row r="869" spans="2:9" s="79" customFormat="1" ht="18" customHeight="1">
      <c r="C869" s="258" t="s">
        <v>893</v>
      </c>
      <c r="D869" s="82"/>
      <c r="E869" s="82"/>
      <c r="F869" s="210"/>
      <c r="G869" s="267">
        <f>SUM(G861:G868)*1.05</f>
        <v>2922.3737980769229</v>
      </c>
      <c r="H869" s="267">
        <f>G869*I7</f>
        <v>246940.58593749997</v>
      </c>
      <c r="I869" s="377"/>
    </row>
    <row r="870" spans="2:9">
      <c r="C870" s="76" t="s">
        <v>506</v>
      </c>
      <c r="D870" s="94"/>
      <c r="E870" s="132"/>
      <c r="F870" s="132"/>
      <c r="G870" s="273">
        <f>G869/20</f>
        <v>146.11868990384613</v>
      </c>
      <c r="H870" s="273">
        <f>G870*I7</f>
        <v>12347.029296874998</v>
      </c>
      <c r="I870" s="376"/>
    </row>
    <row r="871" spans="2:9" ht="18.75" customHeight="1" thickBot="1">
      <c r="C871" s="710" t="s">
        <v>1031</v>
      </c>
      <c r="D871" s="711"/>
      <c r="E871" s="711"/>
      <c r="F871" s="711"/>
      <c r="G871" s="711"/>
      <c r="H871" s="711"/>
      <c r="I871" s="712"/>
    </row>
    <row r="874" spans="2:9" ht="14.45" customHeight="1">
      <c r="B874" s="170" t="str">
        <f>'Costed Impl plan'!B114</f>
        <v>2.4.2.2</v>
      </c>
      <c r="C874" s="583" t="s">
        <v>1016</v>
      </c>
      <c r="D874" s="266"/>
      <c r="E874" s="266"/>
      <c r="F874" s="266"/>
    </row>
    <row r="875" spans="2:9" ht="21.75" customHeight="1">
      <c r="H875" s="327"/>
    </row>
    <row r="876" spans="2:9" ht="7.5" customHeight="1" thickBot="1"/>
    <row r="877" spans="2:9">
      <c r="B877" s="79" t="str">
        <f>'Costed Impl plan'!B115</f>
        <v>2.4.2.2.1</v>
      </c>
      <c r="C877" s="704" t="str">
        <f>'Costed Impl plan'!C115</f>
        <v>Set up support</v>
      </c>
      <c r="D877" s="705"/>
      <c r="E877" s="705"/>
      <c r="F877" s="705"/>
      <c r="G877" s="705"/>
      <c r="H877" s="705"/>
      <c r="I877" s="706"/>
    </row>
    <row r="878" spans="2:9" ht="30">
      <c r="C878" s="131" t="s">
        <v>452</v>
      </c>
      <c r="D878" s="113" t="s">
        <v>703</v>
      </c>
      <c r="E878" s="113" t="s">
        <v>453</v>
      </c>
      <c r="F878" s="113" t="s">
        <v>935</v>
      </c>
      <c r="G878" s="270" t="s">
        <v>932</v>
      </c>
      <c r="H878" s="270" t="s">
        <v>933</v>
      </c>
      <c r="I878" s="375" t="s">
        <v>651</v>
      </c>
    </row>
    <row r="879" spans="2:9">
      <c r="C879" s="77" t="s">
        <v>509</v>
      </c>
      <c r="D879" s="74"/>
      <c r="E879" s="74"/>
      <c r="F879" s="74"/>
      <c r="G879" s="164"/>
      <c r="H879" s="164"/>
      <c r="I879" s="376"/>
    </row>
    <row r="880" spans="2:9">
      <c r="C880" s="150" t="s">
        <v>510</v>
      </c>
      <c r="D880" s="74" t="s">
        <v>753</v>
      </c>
      <c r="E880" s="110">
        <v>1</v>
      </c>
      <c r="F880" s="110">
        <v>441.1764705882353</v>
      </c>
      <c r="G880" s="164">
        <f>E880*F880</f>
        <v>441.1764705882353</v>
      </c>
      <c r="H880" s="164">
        <f>G880*I7</f>
        <v>37279.411764705881</v>
      </c>
      <c r="I880" s="376"/>
    </row>
    <row r="881" spans="3:9">
      <c r="C881" s="150" t="s">
        <v>511</v>
      </c>
      <c r="D881" s="74" t="s">
        <v>753</v>
      </c>
      <c r="E881" s="110">
        <v>1</v>
      </c>
      <c r="F881" s="110">
        <v>147.05882352941177</v>
      </c>
      <c r="G881" s="164">
        <f t="shared" ref="G881:G887" si="12">E881*F881</f>
        <v>147.05882352941177</v>
      </c>
      <c r="H881" s="164">
        <f>G881*I7</f>
        <v>12426.470588235294</v>
      </c>
      <c r="I881" s="376"/>
    </row>
    <row r="882" spans="3:9">
      <c r="C882" s="150" t="s">
        <v>512</v>
      </c>
      <c r="D882" s="74" t="s">
        <v>753</v>
      </c>
      <c r="E882" s="110">
        <v>2</v>
      </c>
      <c r="F882" s="110">
        <v>51.470588235294116</v>
      </c>
      <c r="G882" s="164">
        <f t="shared" si="12"/>
        <v>102.94117647058823</v>
      </c>
      <c r="H882" s="164">
        <f>G882*I7</f>
        <v>8698.5294117647063</v>
      </c>
      <c r="I882" s="376"/>
    </row>
    <row r="883" spans="3:9">
      <c r="C883" s="150" t="s">
        <v>513</v>
      </c>
      <c r="D883" s="74" t="s">
        <v>753</v>
      </c>
      <c r="E883" s="110">
        <v>1</v>
      </c>
      <c r="F883" s="110">
        <v>88.235294117647058</v>
      </c>
      <c r="G883" s="164">
        <f t="shared" si="12"/>
        <v>88.235294117647058</v>
      </c>
      <c r="H883" s="164">
        <f>G883*I7</f>
        <v>7455.8823529411766</v>
      </c>
      <c r="I883" s="376"/>
    </row>
    <row r="884" spans="3:9">
      <c r="C884" s="150" t="s">
        <v>514</v>
      </c>
      <c r="D884" s="74" t="s">
        <v>753</v>
      </c>
      <c r="E884" s="110">
        <v>1</v>
      </c>
      <c r="F884" s="110">
        <v>220.58823529411765</v>
      </c>
      <c r="G884" s="164">
        <f t="shared" si="12"/>
        <v>220.58823529411765</v>
      </c>
      <c r="H884" s="164">
        <f>G884*I7</f>
        <v>18639.705882352941</v>
      </c>
      <c r="I884" s="376"/>
    </row>
    <row r="885" spans="3:9">
      <c r="C885" s="150" t="s">
        <v>515</v>
      </c>
      <c r="D885" s="74" t="s">
        <v>753</v>
      </c>
      <c r="E885" s="110">
        <v>2</v>
      </c>
      <c r="F885" s="110">
        <v>44.117647058823529</v>
      </c>
      <c r="G885" s="164">
        <f t="shared" si="12"/>
        <v>88.235294117647058</v>
      </c>
      <c r="H885" s="164">
        <f>G885*I7</f>
        <v>7455.8823529411766</v>
      </c>
      <c r="I885" s="376"/>
    </row>
    <row r="886" spans="3:9">
      <c r="C886" s="150" t="s">
        <v>516</v>
      </c>
      <c r="D886" s="74" t="s">
        <v>753</v>
      </c>
      <c r="E886" s="110">
        <v>1</v>
      </c>
      <c r="F886" s="110">
        <v>11.764705882352942</v>
      </c>
      <c r="G886" s="164">
        <f t="shared" si="12"/>
        <v>11.764705882352942</v>
      </c>
      <c r="H886" s="164">
        <f>G886*I7</f>
        <v>994.11764705882365</v>
      </c>
      <c r="I886" s="376"/>
    </row>
    <row r="887" spans="3:9">
      <c r="C887" s="150" t="s">
        <v>517</v>
      </c>
      <c r="D887" s="74" t="s">
        <v>753</v>
      </c>
      <c r="E887" s="110">
        <v>1</v>
      </c>
      <c r="F887" s="110">
        <v>205.88235294117646</v>
      </c>
      <c r="G887" s="164">
        <f t="shared" si="12"/>
        <v>205.88235294117646</v>
      </c>
      <c r="H887" s="164">
        <f>G887*I7</f>
        <v>17397.058823529413</v>
      </c>
      <c r="I887" s="376"/>
    </row>
    <row r="888" spans="3:9" s="79" customFormat="1">
      <c r="C888" s="256" t="s">
        <v>518</v>
      </c>
      <c r="D888" s="82"/>
      <c r="E888" s="96"/>
      <c r="F888" s="82"/>
      <c r="G888" s="267">
        <f>SUM(G880:G887)</f>
        <v>1305.8823529411766</v>
      </c>
      <c r="H888" s="267">
        <f>G888*I7</f>
        <v>110347.05882352943</v>
      </c>
      <c r="I888" s="445"/>
    </row>
    <row r="889" spans="3:9" s="79" customFormat="1" ht="30">
      <c r="C889" s="77" t="s">
        <v>519</v>
      </c>
      <c r="D889" s="82"/>
      <c r="E889" s="113" t="s">
        <v>508</v>
      </c>
      <c r="F889" s="96"/>
      <c r="G889" s="267"/>
      <c r="H889" s="267"/>
      <c r="I889" s="445"/>
    </row>
    <row r="890" spans="3:9">
      <c r="C890" s="150" t="s">
        <v>520</v>
      </c>
      <c r="D890" s="74" t="s">
        <v>753</v>
      </c>
      <c r="E890" s="110">
        <v>2</v>
      </c>
      <c r="F890" s="110">
        <v>117.64705882352941</v>
      </c>
      <c r="G890" s="164">
        <f>E890*F890</f>
        <v>235.29411764705881</v>
      </c>
      <c r="H890" s="164">
        <f>G890*I7</f>
        <v>19882.352941176468</v>
      </c>
      <c r="I890" s="376"/>
    </row>
    <row r="891" spans="3:9">
      <c r="C891" s="150" t="s">
        <v>521</v>
      </c>
      <c r="D891" s="74" t="s">
        <v>753</v>
      </c>
      <c r="E891" s="110">
        <v>4</v>
      </c>
      <c r="F891" s="110">
        <v>132.35294117647058</v>
      </c>
      <c r="G891" s="164">
        <f t="shared" ref="G891:G911" si="13">E891*F891</f>
        <v>529.41176470588232</v>
      </c>
      <c r="H891" s="164">
        <f>G891*I7</f>
        <v>44735.294117647056</v>
      </c>
      <c r="I891" s="376"/>
    </row>
    <row r="892" spans="3:9">
      <c r="C892" s="150" t="s">
        <v>522</v>
      </c>
      <c r="D892" s="74" t="s">
        <v>753</v>
      </c>
      <c r="E892" s="110">
        <v>1</v>
      </c>
      <c r="F892" s="110">
        <v>147.05882352941177</v>
      </c>
      <c r="G892" s="164">
        <f t="shared" si="13"/>
        <v>147.05882352941177</v>
      </c>
      <c r="H892" s="164">
        <f>G892*I7</f>
        <v>12426.470588235294</v>
      </c>
      <c r="I892" s="376"/>
    </row>
    <row r="893" spans="3:9">
      <c r="C893" s="150" t="s">
        <v>523</v>
      </c>
      <c r="D893" s="74" t="s">
        <v>753</v>
      </c>
      <c r="E893" s="110">
        <v>1</v>
      </c>
      <c r="F893" s="110">
        <v>220.58823529411765</v>
      </c>
      <c r="G893" s="164">
        <f t="shared" si="13"/>
        <v>220.58823529411765</v>
      </c>
      <c r="H893" s="164">
        <f>G893*I7</f>
        <v>18639.705882352941</v>
      </c>
      <c r="I893" s="376"/>
    </row>
    <row r="894" spans="3:9">
      <c r="C894" s="150" t="s">
        <v>524</v>
      </c>
      <c r="D894" s="74" t="s">
        <v>753</v>
      </c>
      <c r="E894" s="110">
        <v>6</v>
      </c>
      <c r="F894" s="110">
        <v>117.64705882352941</v>
      </c>
      <c r="G894" s="164">
        <f t="shared" si="13"/>
        <v>705.88235294117646</v>
      </c>
      <c r="H894" s="164">
        <f>G894*I7</f>
        <v>59647.058823529413</v>
      </c>
      <c r="I894" s="376"/>
    </row>
    <row r="895" spans="3:9">
      <c r="C895" s="150" t="s">
        <v>525</v>
      </c>
      <c r="D895" s="74" t="s">
        <v>753</v>
      </c>
      <c r="E895" s="110">
        <v>5</v>
      </c>
      <c r="F895" s="110">
        <v>73.529411764705884</v>
      </c>
      <c r="G895" s="164">
        <f t="shared" si="13"/>
        <v>367.64705882352939</v>
      </c>
      <c r="H895" s="164">
        <f>G895*I7</f>
        <v>31066.176470588234</v>
      </c>
      <c r="I895" s="376"/>
    </row>
    <row r="896" spans="3:9">
      <c r="C896" s="150" t="s">
        <v>526</v>
      </c>
      <c r="D896" s="74" t="s">
        <v>753</v>
      </c>
      <c r="E896" s="110">
        <v>50</v>
      </c>
      <c r="F896" s="110">
        <v>7.3529411764705879</v>
      </c>
      <c r="G896" s="164">
        <f t="shared" si="13"/>
        <v>367.64705882352939</v>
      </c>
      <c r="H896" s="164">
        <f>G896*I7</f>
        <v>31066.176470588234</v>
      </c>
      <c r="I896" s="376"/>
    </row>
    <row r="897" spans="3:9">
      <c r="C897" s="150" t="s">
        <v>527</v>
      </c>
      <c r="D897" s="74" t="s">
        <v>753</v>
      </c>
      <c r="E897" s="110">
        <v>1</v>
      </c>
      <c r="F897" s="110">
        <v>102.94117647058823</v>
      </c>
      <c r="G897" s="164">
        <f t="shared" si="13"/>
        <v>102.94117647058823</v>
      </c>
      <c r="H897" s="164">
        <f>G897*I7</f>
        <v>8698.5294117647063</v>
      </c>
      <c r="I897" s="376"/>
    </row>
    <row r="898" spans="3:9">
      <c r="C898" s="150" t="s">
        <v>528</v>
      </c>
      <c r="D898" s="74" t="s">
        <v>753</v>
      </c>
      <c r="E898" s="110">
        <v>1</v>
      </c>
      <c r="F898" s="110">
        <v>51.470588235294116</v>
      </c>
      <c r="G898" s="164">
        <f t="shared" si="13"/>
        <v>51.470588235294116</v>
      </c>
      <c r="H898" s="164">
        <f>G898*I7</f>
        <v>4349.2647058823532</v>
      </c>
      <c r="I898" s="376"/>
    </row>
    <row r="899" spans="3:9">
      <c r="C899" s="150" t="s">
        <v>529</v>
      </c>
      <c r="D899" s="74" t="s">
        <v>753</v>
      </c>
      <c r="E899" s="110">
        <v>1</v>
      </c>
      <c r="F899" s="110">
        <v>73.529411764705884</v>
      </c>
      <c r="G899" s="164">
        <f t="shared" si="13"/>
        <v>73.529411764705884</v>
      </c>
      <c r="H899" s="164">
        <f>G899*I7</f>
        <v>6213.2352941176468</v>
      </c>
      <c r="I899" s="376"/>
    </row>
    <row r="900" spans="3:9">
      <c r="C900" s="150" t="s">
        <v>530</v>
      </c>
      <c r="D900" s="74" t="s">
        <v>753</v>
      </c>
      <c r="E900" s="110">
        <f>1+1+1</f>
        <v>3</v>
      </c>
      <c r="F900" s="110">
        <v>147.05882352941177</v>
      </c>
      <c r="G900" s="164">
        <f t="shared" si="13"/>
        <v>441.1764705882353</v>
      </c>
      <c r="H900" s="164">
        <f>G900*I7</f>
        <v>37279.411764705881</v>
      </c>
      <c r="I900" s="376"/>
    </row>
    <row r="901" spans="3:9">
      <c r="C901" s="150" t="s">
        <v>531</v>
      </c>
      <c r="D901" s="74" t="s">
        <v>753</v>
      </c>
      <c r="E901" s="110">
        <v>1</v>
      </c>
      <c r="F901" s="110">
        <v>147.05882352941177</v>
      </c>
      <c r="G901" s="164">
        <f t="shared" si="13"/>
        <v>147.05882352941177</v>
      </c>
      <c r="H901" s="164">
        <f>G901*I7</f>
        <v>12426.470588235294</v>
      </c>
      <c r="I901" s="376"/>
    </row>
    <row r="902" spans="3:9">
      <c r="C902" s="150" t="s">
        <v>532</v>
      </c>
      <c r="D902" s="74" t="s">
        <v>753</v>
      </c>
      <c r="E902" s="110">
        <v>1</v>
      </c>
      <c r="F902" s="110">
        <v>44.117647058823529</v>
      </c>
      <c r="G902" s="164">
        <f t="shared" si="13"/>
        <v>44.117647058823529</v>
      </c>
      <c r="H902" s="164">
        <f>G902*I7</f>
        <v>3727.9411764705883</v>
      </c>
      <c r="I902" s="376"/>
    </row>
    <row r="903" spans="3:9">
      <c r="C903" s="150" t="s">
        <v>533</v>
      </c>
      <c r="D903" s="74" t="s">
        <v>753</v>
      </c>
      <c r="E903" s="110">
        <v>1</v>
      </c>
      <c r="F903" s="110">
        <v>17.647058823529413</v>
      </c>
      <c r="G903" s="164">
        <f t="shared" si="13"/>
        <v>17.647058823529413</v>
      </c>
      <c r="H903" s="164">
        <f>G903*I7</f>
        <v>1491.1764705882354</v>
      </c>
      <c r="I903" s="376"/>
    </row>
    <row r="904" spans="3:9">
      <c r="C904" s="150" t="s">
        <v>534</v>
      </c>
      <c r="D904" s="74" t="s">
        <v>753</v>
      </c>
      <c r="E904" s="110">
        <v>1</v>
      </c>
      <c r="F904" s="110">
        <v>235.29411764705881</v>
      </c>
      <c r="G904" s="164">
        <f t="shared" si="13"/>
        <v>235.29411764705881</v>
      </c>
      <c r="H904" s="164">
        <f>G904*I7</f>
        <v>19882.352941176468</v>
      </c>
      <c r="I904" s="376"/>
    </row>
    <row r="905" spans="3:9">
      <c r="C905" s="150" t="s">
        <v>535</v>
      </c>
      <c r="D905" s="74" t="s">
        <v>753</v>
      </c>
      <c r="E905" s="110">
        <v>1</v>
      </c>
      <c r="F905" s="110">
        <v>66.17647058823529</v>
      </c>
      <c r="G905" s="164">
        <f t="shared" si="13"/>
        <v>66.17647058823529</v>
      </c>
      <c r="H905" s="164">
        <f>G905*I7</f>
        <v>5591.911764705882</v>
      </c>
      <c r="I905" s="376"/>
    </row>
    <row r="906" spans="3:9">
      <c r="C906" s="150" t="s">
        <v>536</v>
      </c>
      <c r="D906" s="74" t="s">
        <v>753</v>
      </c>
      <c r="E906" s="110">
        <v>1</v>
      </c>
      <c r="F906" s="110">
        <v>220.58823529411765</v>
      </c>
      <c r="G906" s="164">
        <f t="shared" si="13"/>
        <v>220.58823529411765</v>
      </c>
      <c r="H906" s="164">
        <f>G906*I7</f>
        <v>18639.705882352941</v>
      </c>
      <c r="I906" s="376"/>
    </row>
    <row r="907" spans="3:9">
      <c r="C907" s="150" t="s">
        <v>537</v>
      </c>
      <c r="D907" s="74" t="s">
        <v>753</v>
      </c>
      <c r="E907" s="110">
        <v>1</v>
      </c>
      <c r="F907" s="110">
        <v>36.764705882352942</v>
      </c>
      <c r="G907" s="164">
        <f t="shared" si="13"/>
        <v>36.764705882352942</v>
      </c>
      <c r="H907" s="164">
        <f>G907*I7</f>
        <v>3106.6176470588234</v>
      </c>
      <c r="I907" s="376"/>
    </row>
    <row r="908" spans="3:9">
      <c r="C908" s="150" t="s">
        <v>538</v>
      </c>
      <c r="D908" s="74" t="s">
        <v>753</v>
      </c>
      <c r="E908" s="110">
        <v>1</v>
      </c>
      <c r="F908" s="110">
        <v>41.176470588235297</v>
      </c>
      <c r="G908" s="164">
        <f t="shared" si="13"/>
        <v>41.176470588235297</v>
      </c>
      <c r="H908" s="164">
        <f>G908*I7</f>
        <v>3479.4117647058824</v>
      </c>
      <c r="I908" s="376"/>
    </row>
    <row r="909" spans="3:9">
      <c r="C909" s="150" t="s">
        <v>539</v>
      </c>
      <c r="D909" s="74" t="s">
        <v>753</v>
      </c>
      <c r="E909" s="110">
        <v>4</v>
      </c>
      <c r="F909" s="110">
        <v>7.3529411764705879</v>
      </c>
      <c r="G909" s="164">
        <f t="shared" si="13"/>
        <v>29.411764705882351</v>
      </c>
      <c r="H909" s="164">
        <f>G909*I7</f>
        <v>2485.2941176470586</v>
      </c>
      <c r="I909" s="376"/>
    </row>
    <row r="910" spans="3:9">
      <c r="C910" s="150" t="s">
        <v>540</v>
      </c>
      <c r="D910" s="74" t="s">
        <v>753</v>
      </c>
      <c r="E910" s="110">
        <v>12</v>
      </c>
      <c r="F910" s="110">
        <v>7.3529411764705879</v>
      </c>
      <c r="G910" s="164">
        <f t="shared" si="13"/>
        <v>88.235294117647058</v>
      </c>
      <c r="H910" s="164">
        <f>G910*I7</f>
        <v>7455.8823529411766</v>
      </c>
      <c r="I910" s="376"/>
    </row>
    <row r="911" spans="3:9">
      <c r="C911" s="150" t="s">
        <v>541</v>
      </c>
      <c r="D911" s="74" t="s">
        <v>753</v>
      </c>
      <c r="E911" s="110">
        <v>6</v>
      </c>
      <c r="F911" s="110">
        <v>29.411764705882351</v>
      </c>
      <c r="G911" s="164">
        <f t="shared" si="13"/>
        <v>176.47058823529412</v>
      </c>
      <c r="H911" s="164">
        <f>G911*I7</f>
        <v>14911.764705882353</v>
      </c>
      <c r="I911" s="376"/>
    </row>
    <row r="912" spans="3:9" s="79" customFormat="1">
      <c r="C912" s="256" t="s">
        <v>518</v>
      </c>
      <c r="D912" s="82"/>
      <c r="E912" s="96"/>
      <c r="F912" s="223"/>
      <c r="G912" s="267">
        <f>SUM(G890:G911)</f>
        <v>4345.5882352941162</v>
      </c>
      <c r="H912" s="267">
        <f>G912*I7</f>
        <v>367202.20588235284</v>
      </c>
      <c r="I912" s="445"/>
    </row>
    <row r="913" spans="2:9">
      <c r="B913" s="83"/>
      <c r="C913" s="255" t="s">
        <v>869</v>
      </c>
      <c r="D913" s="214"/>
      <c r="E913" s="110"/>
      <c r="F913" s="74"/>
      <c r="G913" s="164">
        <f>(G912+G888)*25%</f>
        <v>1412.8676470588232</v>
      </c>
      <c r="H913" s="164">
        <f>G913*I7</f>
        <v>119387.31617647056</v>
      </c>
      <c r="I913" s="376"/>
    </row>
    <row r="914" spans="2:9">
      <c r="C914" s="76" t="s">
        <v>542</v>
      </c>
      <c r="D914" s="94"/>
      <c r="E914" s="132"/>
      <c r="F914" s="132"/>
      <c r="G914" s="273">
        <f>(G888+G912+G913)*1.3</f>
        <v>9183.6397058823513</v>
      </c>
      <c r="H914" s="273">
        <f>G914*I7</f>
        <v>776017.55514705868</v>
      </c>
      <c r="I914" s="452"/>
    </row>
    <row r="915" spans="2:9" ht="15.75" thickBot="1">
      <c r="C915" s="710" t="s">
        <v>1031</v>
      </c>
      <c r="D915" s="711"/>
      <c r="E915" s="711"/>
      <c r="F915" s="711"/>
      <c r="G915" s="711"/>
      <c r="H915" s="711"/>
      <c r="I915" s="712"/>
    </row>
    <row r="916" spans="2:9">
      <c r="F916" s="168"/>
      <c r="I916" s="157"/>
    </row>
    <row r="917" spans="2:9" ht="15.75" thickBot="1">
      <c r="F917" s="168"/>
      <c r="I917" s="157"/>
    </row>
    <row r="918" spans="2:9" ht="22.5" customHeight="1">
      <c r="B918" s="79" t="str">
        <f>'Costed Impl plan'!B116</f>
        <v>2.4.2.2.2</v>
      </c>
      <c r="C918" s="704" t="str">
        <f>'Costed Impl plan'!C116</f>
        <v>Running support</v>
      </c>
      <c r="D918" s="705"/>
      <c r="E918" s="705"/>
      <c r="F918" s="705"/>
      <c r="G918" s="705"/>
      <c r="H918" s="705"/>
      <c r="I918" s="706"/>
    </row>
    <row r="919" spans="2:9" ht="30">
      <c r="C919" s="131" t="s">
        <v>452</v>
      </c>
      <c r="D919" s="113" t="s">
        <v>703</v>
      </c>
      <c r="E919" s="113" t="s">
        <v>453</v>
      </c>
      <c r="F919" s="113" t="s">
        <v>935</v>
      </c>
      <c r="G919" s="270" t="s">
        <v>932</v>
      </c>
      <c r="H919" s="270" t="s">
        <v>933</v>
      </c>
      <c r="I919" s="375" t="s">
        <v>651</v>
      </c>
    </row>
    <row r="920" spans="2:9">
      <c r="C920" s="77" t="s">
        <v>543</v>
      </c>
      <c r="D920" s="74"/>
      <c r="E920" s="74"/>
      <c r="F920" s="110"/>
      <c r="G920" s="164"/>
      <c r="H920" s="164"/>
      <c r="I920" s="452"/>
    </row>
    <row r="921" spans="2:9">
      <c r="C921" s="150" t="s">
        <v>544</v>
      </c>
      <c r="D921" s="74" t="s">
        <v>754</v>
      </c>
      <c r="E921" s="110">
        <v>1</v>
      </c>
      <c r="F921" s="110">
        <v>100</v>
      </c>
      <c r="G921" s="164">
        <f>E921*F921</f>
        <v>100</v>
      </c>
      <c r="H921" s="164">
        <f>G921*I7</f>
        <v>8450</v>
      </c>
      <c r="I921" s="376"/>
    </row>
    <row r="922" spans="2:9">
      <c r="C922" s="150" t="s">
        <v>545</v>
      </c>
      <c r="D922" s="74" t="s">
        <v>754</v>
      </c>
      <c r="E922" s="110">
        <v>1</v>
      </c>
      <c r="F922" s="110">
        <v>14.705882352941176</v>
      </c>
      <c r="G922" s="164">
        <f t="shared" ref="G922:G932" si="14">E922*F922</f>
        <v>14.705882352941176</v>
      </c>
      <c r="H922" s="164">
        <f>G922*I7</f>
        <v>1242.6470588235293</v>
      </c>
      <c r="I922" s="376"/>
    </row>
    <row r="923" spans="2:9">
      <c r="C923" s="150" t="s">
        <v>546</v>
      </c>
      <c r="D923" s="74" t="s">
        <v>754</v>
      </c>
      <c r="E923" s="110">
        <v>1</v>
      </c>
      <c r="F923" s="110">
        <v>4.4117647058823533</v>
      </c>
      <c r="G923" s="164">
        <f t="shared" si="14"/>
        <v>4.4117647058823533</v>
      </c>
      <c r="H923" s="164">
        <f>G923*I7</f>
        <v>372.79411764705884</v>
      </c>
      <c r="I923" s="376"/>
    </row>
    <row r="924" spans="2:9">
      <c r="C924" s="150" t="s">
        <v>547</v>
      </c>
      <c r="D924" s="74" t="s">
        <v>754</v>
      </c>
      <c r="E924" s="110">
        <v>1</v>
      </c>
      <c r="F924" s="110">
        <v>7.3529411764705879</v>
      </c>
      <c r="G924" s="164">
        <f t="shared" si="14"/>
        <v>7.3529411764705879</v>
      </c>
      <c r="H924" s="164">
        <f>G924*I7</f>
        <v>621.32352941176464</v>
      </c>
      <c r="I924" s="376"/>
    </row>
    <row r="925" spans="2:9">
      <c r="C925" s="150" t="s">
        <v>548</v>
      </c>
      <c r="D925" s="74" t="s">
        <v>754</v>
      </c>
      <c r="E925" s="110">
        <v>1</v>
      </c>
      <c r="F925" s="110">
        <v>36.764705882352942</v>
      </c>
      <c r="G925" s="164">
        <f t="shared" si="14"/>
        <v>36.764705882352942</v>
      </c>
      <c r="H925" s="164">
        <f>G925*I7</f>
        <v>3106.6176470588234</v>
      </c>
      <c r="I925" s="376"/>
    </row>
    <row r="926" spans="2:9">
      <c r="C926" s="150" t="s">
        <v>549</v>
      </c>
      <c r="D926" s="74" t="s">
        <v>754</v>
      </c>
      <c r="E926" s="110">
        <v>1</v>
      </c>
      <c r="F926" s="110">
        <v>7.3529411764705879</v>
      </c>
      <c r="G926" s="164">
        <f t="shared" si="14"/>
        <v>7.3529411764705879</v>
      </c>
      <c r="H926" s="164">
        <f>G926*I7</f>
        <v>621.32352941176464</v>
      </c>
      <c r="I926" s="376"/>
    </row>
    <row r="927" spans="2:9">
      <c r="C927" s="150" t="s">
        <v>550</v>
      </c>
      <c r="D927" s="74" t="s">
        <v>754</v>
      </c>
      <c r="E927" s="110">
        <v>1</v>
      </c>
      <c r="F927" s="110">
        <v>26.470588235294116</v>
      </c>
      <c r="G927" s="164">
        <f t="shared" si="14"/>
        <v>26.470588235294116</v>
      </c>
      <c r="H927" s="164">
        <f>G927*I7</f>
        <v>2236.7647058823527</v>
      </c>
      <c r="I927" s="376"/>
    </row>
    <row r="928" spans="2:9">
      <c r="C928" s="150" t="s">
        <v>551</v>
      </c>
      <c r="D928" s="74" t="s">
        <v>754</v>
      </c>
      <c r="E928" s="110">
        <v>1</v>
      </c>
      <c r="F928" s="110">
        <v>11.764705882352942</v>
      </c>
      <c r="G928" s="164">
        <f t="shared" si="14"/>
        <v>11.764705882352942</v>
      </c>
      <c r="H928" s="164">
        <f>G928*I7</f>
        <v>994.11764705882365</v>
      </c>
      <c r="I928" s="376"/>
    </row>
    <row r="929" spans="3:9">
      <c r="C929" s="150" t="s">
        <v>552</v>
      </c>
      <c r="D929" s="74" t="s">
        <v>754</v>
      </c>
      <c r="E929" s="110">
        <v>1</v>
      </c>
      <c r="F929" s="110">
        <v>10.294117647058824</v>
      </c>
      <c r="G929" s="164">
        <f t="shared" si="14"/>
        <v>10.294117647058824</v>
      </c>
      <c r="H929" s="164">
        <f>G929*I7</f>
        <v>869.85294117647061</v>
      </c>
      <c r="I929" s="376"/>
    </row>
    <row r="930" spans="3:9" ht="30">
      <c r="C930" s="169" t="s">
        <v>553</v>
      </c>
      <c r="D930" s="74" t="s">
        <v>754</v>
      </c>
      <c r="E930" s="110">
        <v>1</v>
      </c>
      <c r="F930" s="110">
        <v>7.3529411764705879</v>
      </c>
      <c r="G930" s="164">
        <f t="shared" si="14"/>
        <v>7.3529411764705879</v>
      </c>
      <c r="H930" s="164">
        <f>G930*I7</f>
        <v>621.32352941176464</v>
      </c>
      <c r="I930" s="376"/>
    </row>
    <row r="931" spans="3:9">
      <c r="C931" s="150" t="s">
        <v>554</v>
      </c>
      <c r="D931" s="74" t="s">
        <v>754</v>
      </c>
      <c r="E931" s="110">
        <v>1</v>
      </c>
      <c r="F931" s="110">
        <v>36.764705882352942</v>
      </c>
      <c r="G931" s="164">
        <f t="shared" si="14"/>
        <v>36.764705882352942</v>
      </c>
      <c r="H931" s="164">
        <f>G931*I7</f>
        <v>3106.6176470588234</v>
      </c>
      <c r="I931" s="376"/>
    </row>
    <row r="932" spans="3:9">
      <c r="C932" s="150" t="s">
        <v>555</v>
      </c>
      <c r="D932" s="74" t="s">
        <v>754</v>
      </c>
      <c r="E932" s="110">
        <v>1</v>
      </c>
      <c r="F932" s="110">
        <v>14.705882352941176</v>
      </c>
      <c r="G932" s="164">
        <f t="shared" si="14"/>
        <v>14.705882352941176</v>
      </c>
      <c r="H932" s="164">
        <f>G932*I7</f>
        <v>1242.6470588235293</v>
      </c>
      <c r="I932" s="376"/>
    </row>
    <row r="933" spans="3:9" s="79" customFormat="1">
      <c r="C933" s="75" t="s">
        <v>918</v>
      </c>
      <c r="D933" s="82"/>
      <c r="E933" s="96"/>
      <c r="F933" s="96"/>
      <c r="G933" s="267">
        <f>SUM(G921:G932)</f>
        <v>277.94117647058818</v>
      </c>
      <c r="H933" s="267">
        <f>G933*I7</f>
        <v>23486.029411764699</v>
      </c>
      <c r="I933" s="445"/>
    </row>
    <row r="934" spans="3:9" s="79" customFormat="1">
      <c r="C934" s="77" t="s">
        <v>556</v>
      </c>
      <c r="D934" s="82"/>
      <c r="E934" s="96"/>
      <c r="F934" s="96"/>
      <c r="G934" s="267"/>
      <c r="H934" s="267">
        <f>G934*I7</f>
        <v>0</v>
      </c>
      <c r="I934" s="445"/>
    </row>
    <row r="935" spans="3:9">
      <c r="C935" s="150" t="s">
        <v>557</v>
      </c>
      <c r="D935" s="74" t="s">
        <v>755</v>
      </c>
      <c r="E935" s="110">
        <v>1</v>
      </c>
      <c r="F935" s="110">
        <v>220.58823529411765</v>
      </c>
      <c r="G935" s="164">
        <f t="shared" ref="G935:G940" si="15">E935*F935</f>
        <v>220.58823529411765</v>
      </c>
      <c r="H935" s="164">
        <f>G935*I7</f>
        <v>18639.705882352941</v>
      </c>
      <c r="I935" s="376"/>
    </row>
    <row r="936" spans="3:9">
      <c r="C936" s="150" t="s">
        <v>558</v>
      </c>
      <c r="D936" s="74" t="s">
        <v>755</v>
      </c>
      <c r="E936" s="110">
        <v>1</v>
      </c>
      <c r="F936" s="110">
        <v>176.47058823529412</v>
      </c>
      <c r="G936" s="164">
        <f t="shared" si="15"/>
        <v>176.47058823529412</v>
      </c>
      <c r="H936" s="164">
        <f>G936*I7</f>
        <v>14911.764705882353</v>
      </c>
      <c r="I936" s="376"/>
    </row>
    <row r="937" spans="3:9">
      <c r="C937" s="150" t="s">
        <v>559</v>
      </c>
      <c r="D937" s="74" t="s">
        <v>755</v>
      </c>
      <c r="E937" s="110">
        <v>2</v>
      </c>
      <c r="F937" s="110">
        <v>117.64705882352941</v>
      </c>
      <c r="G937" s="164">
        <f t="shared" si="15"/>
        <v>235.29411764705881</v>
      </c>
      <c r="H937" s="164">
        <f>G937*I7</f>
        <v>19882.352941176468</v>
      </c>
      <c r="I937" s="376"/>
    </row>
    <row r="938" spans="3:9">
      <c r="C938" s="150" t="s">
        <v>560</v>
      </c>
      <c r="D938" s="74" t="s">
        <v>755</v>
      </c>
      <c r="E938" s="110">
        <v>10</v>
      </c>
      <c r="F938" s="110">
        <v>88.235294117647058</v>
      </c>
      <c r="G938" s="164">
        <f t="shared" si="15"/>
        <v>882.35294117647061</v>
      </c>
      <c r="H938" s="164">
        <f>G938*I7</f>
        <v>74558.823529411762</v>
      </c>
      <c r="I938" s="376"/>
    </row>
    <row r="939" spans="3:9">
      <c r="C939" s="150" t="s">
        <v>561</v>
      </c>
      <c r="D939" s="74" t="s">
        <v>755</v>
      </c>
      <c r="E939" s="110">
        <v>1</v>
      </c>
      <c r="F939" s="110">
        <v>58.823529411764703</v>
      </c>
      <c r="G939" s="164">
        <f t="shared" si="15"/>
        <v>58.823529411764703</v>
      </c>
      <c r="H939" s="164">
        <f>G939*I7</f>
        <v>4970.5882352941171</v>
      </c>
      <c r="I939" s="376"/>
    </row>
    <row r="940" spans="3:9">
      <c r="C940" s="150" t="s">
        <v>562</v>
      </c>
      <c r="D940" s="74" t="s">
        <v>755</v>
      </c>
      <c r="E940" s="110">
        <v>1</v>
      </c>
      <c r="F940" s="110">
        <v>44.117647058823529</v>
      </c>
      <c r="G940" s="164">
        <f t="shared" si="15"/>
        <v>44.117647058823529</v>
      </c>
      <c r="H940" s="164">
        <f>G940*I7</f>
        <v>3727.9411764705883</v>
      </c>
      <c r="I940" s="376"/>
    </row>
    <row r="941" spans="3:9" s="79" customFormat="1">
      <c r="C941" s="75" t="s">
        <v>919</v>
      </c>
      <c r="D941" s="82"/>
      <c r="E941" s="96"/>
      <c r="F941" s="96"/>
      <c r="G941" s="267">
        <f>SUM(G935:G940)</f>
        <v>1617.6470588235293</v>
      </c>
      <c r="H941" s="267">
        <f>G941*I7</f>
        <v>136691.17647058822</v>
      </c>
      <c r="I941" s="445"/>
    </row>
    <row r="942" spans="3:9" s="79" customFormat="1">
      <c r="C942" s="216" t="s">
        <v>867</v>
      </c>
      <c r="D942" s="82"/>
      <c r="E942" s="96"/>
      <c r="F942" s="82"/>
      <c r="G942" s="267">
        <f>(G933+G941)*25%</f>
        <v>473.89705882352939</v>
      </c>
      <c r="H942" s="267">
        <f>G942*I7</f>
        <v>40044.301470588231</v>
      </c>
      <c r="I942" s="445"/>
    </row>
    <row r="943" spans="3:9">
      <c r="C943" s="76" t="s">
        <v>563</v>
      </c>
      <c r="D943" s="94"/>
      <c r="E943" s="132"/>
      <c r="F943" s="132"/>
      <c r="G943" s="273">
        <f>G933+G941+G942</f>
        <v>2369.4852941176468</v>
      </c>
      <c r="H943" s="273">
        <f>G943*I7</f>
        <v>200221.50735294115</v>
      </c>
      <c r="I943" s="376"/>
    </row>
    <row r="944" spans="3:9" ht="15.75" thickBot="1">
      <c r="C944" s="710" t="s">
        <v>1031</v>
      </c>
      <c r="D944" s="711"/>
      <c r="E944" s="711"/>
      <c r="F944" s="711"/>
      <c r="G944" s="711"/>
      <c r="H944" s="711"/>
      <c r="I944" s="712"/>
    </row>
    <row r="947" spans="2:9" ht="15.75" thickBot="1"/>
    <row r="948" spans="2:9">
      <c r="B948" s="79" t="str">
        <f>'Costed Impl plan'!B123</f>
        <v>3.1.1</v>
      </c>
      <c r="C948" s="704" t="str">
        <f>'Costed Impl plan'!C123</f>
        <v xml:space="preserve">Conduct annual meeting of NAC </v>
      </c>
      <c r="D948" s="705"/>
      <c r="E948" s="705"/>
      <c r="F948" s="705"/>
      <c r="G948" s="705"/>
      <c r="H948" s="705"/>
      <c r="I948" s="706"/>
    </row>
    <row r="949" spans="2:9" ht="30">
      <c r="C949" s="131" t="s">
        <v>452</v>
      </c>
      <c r="D949" s="113" t="s">
        <v>703</v>
      </c>
      <c r="E949" s="113" t="s">
        <v>453</v>
      </c>
      <c r="F949" s="113" t="s">
        <v>935</v>
      </c>
      <c r="G949" s="270" t="s">
        <v>932</v>
      </c>
      <c r="H949" s="270" t="s">
        <v>933</v>
      </c>
      <c r="I949" s="375" t="s">
        <v>651</v>
      </c>
    </row>
    <row r="950" spans="2:9">
      <c r="C950" s="72" t="s">
        <v>454</v>
      </c>
      <c r="D950" s="74" t="s">
        <v>704</v>
      </c>
      <c r="E950" s="106">
        <v>42</v>
      </c>
      <c r="F950" s="156">
        <v>0</v>
      </c>
      <c r="G950" s="164">
        <f t="shared" ref="G950:G955" si="16">E950*F950</f>
        <v>0</v>
      </c>
      <c r="H950" s="164">
        <f>G950*I7</f>
        <v>0</v>
      </c>
      <c r="I950" s="376"/>
    </row>
    <row r="951" spans="2:9">
      <c r="C951" s="72" t="s">
        <v>565</v>
      </c>
      <c r="D951" s="74" t="s">
        <v>704</v>
      </c>
      <c r="E951" s="106">
        <f>E950</f>
        <v>42</v>
      </c>
      <c r="F951" s="156">
        <v>4</v>
      </c>
      <c r="G951" s="164">
        <f t="shared" si="16"/>
        <v>168</v>
      </c>
      <c r="H951" s="164">
        <f>G951*I7</f>
        <v>14196</v>
      </c>
      <c r="I951" s="376"/>
    </row>
    <row r="952" spans="2:9">
      <c r="C952" s="72" t="s">
        <v>457</v>
      </c>
      <c r="D952" s="74" t="s">
        <v>704</v>
      </c>
      <c r="E952" s="106">
        <f>E951</f>
        <v>42</v>
      </c>
      <c r="F952" s="156">
        <f>10000/70/77</f>
        <v>1.855287569573284</v>
      </c>
      <c r="G952" s="164">
        <f t="shared" si="16"/>
        <v>77.922077922077932</v>
      </c>
      <c r="H952" s="164">
        <f>G952*I7</f>
        <v>6584.4155844155848</v>
      </c>
      <c r="I952" s="376"/>
    </row>
    <row r="953" spans="2:9">
      <c r="C953" s="72" t="s">
        <v>458</v>
      </c>
      <c r="D953" s="74" t="s">
        <v>704</v>
      </c>
      <c r="E953" s="106">
        <f>E952</f>
        <v>42</v>
      </c>
      <c r="F953" s="156">
        <f>700/77</f>
        <v>9.0909090909090917</v>
      </c>
      <c r="G953" s="164">
        <f t="shared" si="16"/>
        <v>381.81818181818187</v>
      </c>
      <c r="H953" s="164">
        <f>G953*I7</f>
        <v>32263.636363636368</v>
      </c>
      <c r="I953" s="376"/>
    </row>
    <row r="954" spans="2:9">
      <c r="C954" s="72" t="s">
        <v>1161</v>
      </c>
      <c r="D954" s="74" t="s">
        <v>704</v>
      </c>
      <c r="E954" s="106">
        <v>42</v>
      </c>
      <c r="F954" s="156">
        <v>20</v>
      </c>
      <c r="G954" s="164">
        <f t="shared" si="16"/>
        <v>840</v>
      </c>
      <c r="H954" s="164">
        <f>K955</f>
        <v>0</v>
      </c>
      <c r="I954" s="376"/>
    </row>
    <row r="955" spans="2:9">
      <c r="C955" s="72" t="s">
        <v>459</v>
      </c>
      <c r="D955" s="74" t="s">
        <v>1065</v>
      </c>
      <c r="E955" s="106">
        <v>1</v>
      </c>
      <c r="F955" s="156">
        <f>3000/77</f>
        <v>38.961038961038959</v>
      </c>
      <c r="G955" s="164">
        <f t="shared" si="16"/>
        <v>38.961038961038959</v>
      </c>
      <c r="H955" s="164">
        <f>G955*I7</f>
        <v>3292.207792207792</v>
      </c>
      <c r="I955" s="376"/>
    </row>
    <row r="956" spans="2:9" s="79" customFormat="1">
      <c r="C956" s="216" t="s">
        <v>867</v>
      </c>
      <c r="D956" s="104"/>
      <c r="E956" s="113"/>
      <c r="F956" s="114"/>
      <c r="G956" s="164">
        <v>0</v>
      </c>
      <c r="H956" s="164">
        <f>G956*I7</f>
        <v>0</v>
      </c>
      <c r="I956" s="445"/>
    </row>
    <row r="957" spans="2:9" s="170" customFormat="1">
      <c r="C957" s="91" t="s">
        <v>502</v>
      </c>
      <c r="D957" s="87"/>
      <c r="E957" s="87"/>
      <c r="F957" s="87"/>
      <c r="G957" s="206">
        <f>SUM(G950:G956)*1.05</f>
        <v>1582.0363636363636</v>
      </c>
      <c r="H957" s="206">
        <f>G957*I7</f>
        <v>133682.07272727272</v>
      </c>
      <c r="I957" s="453"/>
    </row>
    <row r="958" spans="2:9" ht="15.75" customHeight="1" thickBot="1">
      <c r="C958" s="710" t="s">
        <v>1051</v>
      </c>
      <c r="D958" s="711"/>
      <c r="E958" s="711"/>
      <c r="F958" s="711"/>
      <c r="G958" s="711"/>
      <c r="H958" s="711"/>
      <c r="I958" s="712"/>
    </row>
    <row r="961" spans="2:9" ht="15.75" thickBot="1"/>
    <row r="962" spans="2:9">
      <c r="B962" s="79" t="str">
        <f>'Costed Impl plan'!B124</f>
        <v>3.1.2</v>
      </c>
      <c r="C962" s="704" t="s">
        <v>1075</v>
      </c>
      <c r="D962" s="705"/>
      <c r="E962" s="705"/>
      <c r="F962" s="705"/>
      <c r="G962" s="705"/>
      <c r="H962" s="705"/>
      <c r="I962" s="706"/>
    </row>
    <row r="963" spans="2:9" ht="30">
      <c r="C963" s="131" t="s">
        <v>452</v>
      </c>
      <c r="D963" s="113" t="s">
        <v>703</v>
      </c>
      <c r="E963" s="113" t="s">
        <v>453</v>
      </c>
      <c r="F963" s="113" t="s">
        <v>935</v>
      </c>
      <c r="G963" s="270" t="s">
        <v>932</v>
      </c>
      <c r="H963" s="270" t="s">
        <v>933</v>
      </c>
      <c r="I963" s="375" t="s">
        <v>651</v>
      </c>
    </row>
    <row r="964" spans="2:9">
      <c r="C964" s="72" t="s">
        <v>564</v>
      </c>
      <c r="D964" s="74" t="s">
        <v>746</v>
      </c>
      <c r="E964" s="74">
        <v>1</v>
      </c>
      <c r="F964" s="160">
        <v>56.25</v>
      </c>
      <c r="G964" s="164">
        <f>F964*E964</f>
        <v>56.25</v>
      </c>
      <c r="H964" s="164">
        <f>G964*I7</f>
        <v>4753.125</v>
      </c>
      <c r="I964" s="376"/>
    </row>
    <row r="965" spans="2:9">
      <c r="C965" s="72" t="s">
        <v>455</v>
      </c>
      <c r="D965" s="74" t="s">
        <v>1074</v>
      </c>
      <c r="E965" s="74">
        <v>22</v>
      </c>
      <c r="F965" s="160">
        <f>1000/77</f>
        <v>12.987012987012987</v>
      </c>
      <c r="G965" s="164">
        <f>F965*E965</f>
        <v>285.71428571428572</v>
      </c>
      <c r="H965" s="164">
        <f>G965*I7</f>
        <v>24142.857142857145</v>
      </c>
      <c r="I965" s="376"/>
    </row>
    <row r="966" spans="2:9">
      <c r="C966" s="72" t="s">
        <v>756</v>
      </c>
      <c r="D966" s="74" t="s">
        <v>757</v>
      </c>
      <c r="E966" s="74"/>
      <c r="F966" s="160"/>
      <c r="G966" s="164">
        <f>F966*E966</f>
        <v>0</v>
      </c>
      <c r="H966" s="164">
        <f>G966*I7</f>
        <v>0</v>
      </c>
      <c r="I966" s="376"/>
    </row>
    <row r="967" spans="2:9">
      <c r="C967" s="72" t="s">
        <v>565</v>
      </c>
      <c r="D967" s="74" t="s">
        <v>748</v>
      </c>
      <c r="E967" s="74">
        <v>22</v>
      </c>
      <c r="F967" s="160">
        <f>200/77</f>
        <v>2.5974025974025974</v>
      </c>
      <c r="G967" s="164">
        <f>F967*E967</f>
        <v>57.142857142857139</v>
      </c>
      <c r="H967" s="164">
        <f>G967*I7</f>
        <v>4828.5714285714284</v>
      </c>
      <c r="I967" s="376"/>
    </row>
    <row r="968" spans="2:9">
      <c r="C968" s="72" t="s">
        <v>458</v>
      </c>
      <c r="D968" s="74" t="s">
        <v>748</v>
      </c>
      <c r="E968" s="74">
        <v>22</v>
      </c>
      <c r="F968" s="160">
        <f>600/77</f>
        <v>7.7922077922077921</v>
      </c>
      <c r="G968" s="164">
        <f>F968*E968</f>
        <v>171.42857142857142</v>
      </c>
      <c r="H968" s="164">
        <f>G968*I7</f>
        <v>14485.714285714284</v>
      </c>
      <c r="I968" s="376"/>
    </row>
    <row r="969" spans="2:9">
      <c r="C969" s="216" t="s">
        <v>867</v>
      </c>
      <c r="D969" s="82"/>
      <c r="E969" s="82"/>
      <c r="F969" s="82"/>
      <c r="G969" s="296"/>
      <c r="H969" s="164">
        <f>G969*I7</f>
        <v>0</v>
      </c>
      <c r="I969" s="376"/>
    </row>
    <row r="970" spans="2:9" s="171" customFormat="1">
      <c r="B970" s="170"/>
      <c r="C970" s="91" t="s">
        <v>502</v>
      </c>
      <c r="D970" s="87"/>
      <c r="E970" s="152"/>
      <c r="F970" s="152"/>
      <c r="G970" s="206">
        <f>SUM(G964:G969)</f>
        <v>570.53571428571433</v>
      </c>
      <c r="H970" s="206">
        <f>G970*I7</f>
        <v>48210.267857142862</v>
      </c>
      <c r="I970" s="388"/>
    </row>
    <row r="971" spans="2:9" ht="15" customHeight="1" thickBot="1">
      <c r="C971" s="710" t="s">
        <v>1051</v>
      </c>
      <c r="D971" s="711"/>
      <c r="E971" s="711"/>
      <c r="F971" s="711"/>
      <c r="G971" s="711"/>
      <c r="H971" s="711"/>
      <c r="I971" s="712"/>
    </row>
    <row r="974" spans="2:9" ht="15.75" thickBot="1"/>
    <row r="975" spans="2:9">
      <c r="B975" s="79" t="str">
        <f>'Costed Impl plan'!B125</f>
        <v>3.1.3</v>
      </c>
      <c r="C975" s="704" t="str">
        <f>'Costed Impl plan'!C125</f>
        <v xml:space="preserve">Produce annual program report </v>
      </c>
      <c r="D975" s="705"/>
      <c r="E975" s="705"/>
      <c r="F975" s="705"/>
      <c r="G975" s="705"/>
      <c r="H975" s="713"/>
      <c r="I975" s="706"/>
    </row>
    <row r="976" spans="2:9" ht="30">
      <c r="C976" s="131" t="s">
        <v>452</v>
      </c>
      <c r="D976" s="113" t="s">
        <v>703</v>
      </c>
      <c r="E976" s="113" t="s">
        <v>453</v>
      </c>
      <c r="F976" s="113" t="s">
        <v>935</v>
      </c>
      <c r="G976" s="270" t="s">
        <v>932</v>
      </c>
      <c r="H976" s="270" t="s">
        <v>933</v>
      </c>
      <c r="I976" s="375" t="s">
        <v>651</v>
      </c>
    </row>
    <row r="977" spans="2:9">
      <c r="C977" s="77" t="s">
        <v>566</v>
      </c>
      <c r="D977" s="74"/>
      <c r="E977" s="74"/>
      <c r="F977" s="74"/>
      <c r="G977" s="164"/>
      <c r="H977" s="300"/>
      <c r="I977" s="376"/>
    </row>
    <row r="978" spans="2:9">
      <c r="C978" s="72" t="s">
        <v>1076</v>
      </c>
      <c r="D978" s="74" t="s">
        <v>1077</v>
      </c>
      <c r="E978" s="74">
        <v>20</v>
      </c>
      <c r="F978" s="74">
        <v>100</v>
      </c>
      <c r="G978" s="164">
        <f>E978*F978</f>
        <v>2000</v>
      </c>
      <c r="H978" s="300">
        <f>G978*I7</f>
        <v>169000</v>
      </c>
      <c r="I978" s="376"/>
    </row>
    <row r="979" spans="2:9">
      <c r="C979" s="72" t="s">
        <v>1078</v>
      </c>
      <c r="D979" s="74" t="s">
        <v>788</v>
      </c>
      <c r="E979" s="74">
        <v>25</v>
      </c>
      <c r="F979" s="74">
        <v>10</v>
      </c>
      <c r="G979" s="164">
        <f>E979*F979</f>
        <v>250</v>
      </c>
      <c r="H979" s="300">
        <f>G979*I7</f>
        <v>21125</v>
      </c>
      <c r="I979" s="376"/>
    </row>
    <row r="980" spans="2:9">
      <c r="C980" s="72" t="s">
        <v>567</v>
      </c>
      <c r="D980" s="74" t="s">
        <v>758</v>
      </c>
      <c r="E980" s="74">
        <v>1000</v>
      </c>
      <c r="F980" s="160">
        <v>2.8125</v>
      </c>
      <c r="G980" s="164">
        <f>E980*F980</f>
        <v>2812.5</v>
      </c>
      <c r="H980" s="300">
        <f>G980*I7</f>
        <v>237656.25</v>
      </c>
      <c r="I980" s="376"/>
    </row>
    <row r="981" spans="2:9" s="95" customFormat="1">
      <c r="C981" s="216" t="s">
        <v>867</v>
      </c>
      <c r="D981" s="82"/>
      <c r="E981" s="82"/>
      <c r="F981" s="241"/>
      <c r="G981" s="267"/>
      <c r="H981" s="299">
        <f>G981*I7</f>
        <v>0</v>
      </c>
      <c r="I981" s="446"/>
    </row>
    <row r="982" spans="2:9">
      <c r="C982" s="66" t="s">
        <v>463</v>
      </c>
      <c r="D982" s="70"/>
      <c r="E982" s="112"/>
      <c r="F982" s="112"/>
      <c r="G982" s="272">
        <f>SUM(G978:G981)</f>
        <v>5062.5</v>
      </c>
      <c r="H982" s="594">
        <f>G982*I7</f>
        <v>427781.25</v>
      </c>
      <c r="I982" s="376"/>
    </row>
    <row r="983" spans="2:9" ht="15.75" thickBot="1">
      <c r="C983" s="710" t="s">
        <v>1051</v>
      </c>
      <c r="D983" s="711"/>
      <c r="E983" s="711"/>
      <c r="F983" s="711"/>
      <c r="G983" s="711"/>
      <c r="H983" s="711"/>
      <c r="I983" s="712"/>
    </row>
    <row r="984" spans="2:9">
      <c r="C984" s="79"/>
      <c r="D984" s="95"/>
      <c r="G984" s="228"/>
      <c r="H984" s="228"/>
    </row>
    <row r="985" spans="2:9" ht="25.5" customHeight="1">
      <c r="B985" s="79" t="str">
        <f>'Costed Impl plan'!B128</f>
        <v>3.2.1</v>
      </c>
      <c r="C985" s="777" t="str">
        <f>'Costed Impl plan'!C128</f>
        <v>Continue four sub-units and provide logistical support</v>
      </c>
      <c r="D985" s="777"/>
      <c r="E985" s="777"/>
      <c r="F985" s="777"/>
      <c r="G985" s="777"/>
      <c r="H985" s="328"/>
    </row>
    <row r="986" spans="2:9" ht="15.75" thickBot="1"/>
    <row r="987" spans="2:9" s="171" customFormat="1" ht="21.75" customHeight="1">
      <c r="B987" s="170" t="str">
        <f>'Costed Impl plan'!B129</f>
        <v>3.2.1.1</v>
      </c>
      <c r="C987" s="774" t="s">
        <v>110</v>
      </c>
      <c r="D987" s="775"/>
      <c r="E987" s="775"/>
      <c r="F987" s="775"/>
      <c r="G987" s="775"/>
      <c r="H987" s="782"/>
      <c r="I987" s="776"/>
    </row>
    <row r="988" spans="2:9" s="171" customFormat="1" ht="30">
      <c r="B988" s="170"/>
      <c r="C988" s="414" t="s">
        <v>452</v>
      </c>
      <c r="D988" s="190" t="s">
        <v>703</v>
      </c>
      <c r="E988" s="190" t="s">
        <v>453</v>
      </c>
      <c r="F988" s="190" t="s">
        <v>935</v>
      </c>
      <c r="G988" s="293" t="s">
        <v>932</v>
      </c>
      <c r="H988" s="293" t="s">
        <v>933</v>
      </c>
      <c r="I988" s="419" t="s">
        <v>651</v>
      </c>
    </row>
    <row r="989" spans="2:9" s="171" customFormat="1">
      <c r="B989" s="170"/>
      <c r="C989" s="91" t="s">
        <v>568</v>
      </c>
      <c r="D989" s="87"/>
      <c r="E989" s="152"/>
      <c r="F989" s="454"/>
      <c r="G989" s="279"/>
      <c r="H989" s="312"/>
      <c r="I989" s="388"/>
    </row>
    <row r="990" spans="2:9" s="171" customFormat="1">
      <c r="C990" s="91" t="s">
        <v>569</v>
      </c>
      <c r="D990" s="152"/>
      <c r="E990" s="152"/>
      <c r="F990" s="454"/>
      <c r="G990" s="279"/>
      <c r="H990" s="312"/>
      <c r="I990" s="388"/>
    </row>
    <row r="991" spans="2:9" s="171" customFormat="1">
      <c r="B991" s="170"/>
      <c r="C991" s="455" t="s">
        <v>759</v>
      </c>
      <c r="D991" s="152"/>
      <c r="E991" s="152">
        <v>4</v>
      </c>
      <c r="F991" s="456">
        <v>800</v>
      </c>
      <c r="G991" s="279">
        <f>E991*F991</f>
        <v>3200</v>
      </c>
      <c r="H991" s="312">
        <f>G991*I7</f>
        <v>270400</v>
      </c>
      <c r="I991" s="388"/>
    </row>
    <row r="992" spans="2:9" s="171" customFormat="1">
      <c r="B992" s="170"/>
      <c r="C992" s="455" t="s">
        <v>760</v>
      </c>
      <c r="D992" s="152"/>
      <c r="E992" s="152">
        <v>3</v>
      </c>
      <c r="F992" s="456">
        <v>1000</v>
      </c>
      <c r="G992" s="279">
        <f t="shared" ref="G992:G1004" si="17">E992*F992</f>
        <v>3000</v>
      </c>
      <c r="H992" s="312">
        <f>G992*I7</f>
        <v>253500</v>
      </c>
      <c r="I992" s="388"/>
    </row>
    <row r="993" spans="2:9" s="171" customFormat="1">
      <c r="B993" s="170"/>
      <c r="C993" s="455" t="s">
        <v>761</v>
      </c>
      <c r="D993" s="152"/>
      <c r="E993" s="152">
        <v>4</v>
      </c>
      <c r="F993" s="456">
        <v>150</v>
      </c>
      <c r="G993" s="279">
        <f t="shared" si="17"/>
        <v>600</v>
      </c>
      <c r="H993" s="312">
        <f>G993*I7</f>
        <v>50700</v>
      </c>
      <c r="I993" s="388"/>
    </row>
    <row r="994" spans="2:9" s="171" customFormat="1">
      <c r="B994" s="170"/>
      <c r="C994" s="455" t="s">
        <v>762</v>
      </c>
      <c r="D994" s="152"/>
      <c r="E994" s="152">
        <v>20</v>
      </c>
      <c r="F994" s="456">
        <v>15</v>
      </c>
      <c r="G994" s="279">
        <f t="shared" si="17"/>
        <v>300</v>
      </c>
      <c r="H994" s="312">
        <f>G994*I7</f>
        <v>25350</v>
      </c>
      <c r="I994" s="388"/>
    </row>
    <row r="995" spans="2:9" s="171" customFormat="1">
      <c r="B995" s="170"/>
      <c r="C995" s="455" t="s">
        <v>763</v>
      </c>
      <c r="D995" s="152"/>
      <c r="E995" s="152">
        <v>1</v>
      </c>
      <c r="F995" s="456">
        <v>600</v>
      </c>
      <c r="G995" s="279">
        <f t="shared" si="17"/>
        <v>600</v>
      </c>
      <c r="H995" s="312">
        <f>G995*I7</f>
        <v>50700</v>
      </c>
      <c r="I995" s="388"/>
    </row>
    <row r="996" spans="2:9" s="171" customFormat="1">
      <c r="B996" s="170"/>
      <c r="C996" s="455" t="s">
        <v>570</v>
      </c>
      <c r="D996" s="152"/>
      <c r="E996" s="152">
        <v>1</v>
      </c>
      <c r="F996" s="456">
        <v>2099.17279411765</v>
      </c>
      <c r="G996" s="279">
        <f t="shared" si="17"/>
        <v>2099.17279411765</v>
      </c>
      <c r="H996" s="312">
        <f>G996*I7</f>
        <v>177380.10110294144</v>
      </c>
      <c r="I996" s="388"/>
    </row>
    <row r="997" spans="2:9" s="171" customFormat="1">
      <c r="B997" s="170"/>
      <c r="C997" s="455" t="s">
        <v>571</v>
      </c>
      <c r="D997" s="152"/>
      <c r="E997" s="152">
        <v>1</v>
      </c>
      <c r="F997" s="456">
        <v>437.5</v>
      </c>
      <c r="G997" s="279">
        <f t="shared" si="17"/>
        <v>437.5</v>
      </c>
      <c r="H997" s="312">
        <f>G997*I7</f>
        <v>36968.75</v>
      </c>
      <c r="I997" s="388"/>
    </row>
    <row r="998" spans="2:9" s="171" customFormat="1">
      <c r="B998" s="170"/>
      <c r="C998" s="455" t="s">
        <v>764</v>
      </c>
      <c r="D998" s="152"/>
      <c r="E998" s="152">
        <v>1</v>
      </c>
      <c r="F998" s="456">
        <v>0</v>
      </c>
      <c r="G998" s="279">
        <f t="shared" si="17"/>
        <v>0</v>
      </c>
      <c r="H998" s="312">
        <f>G998*I7</f>
        <v>0</v>
      </c>
      <c r="I998" s="388"/>
    </row>
    <row r="999" spans="2:9" s="171" customFormat="1">
      <c r="B999" s="170"/>
      <c r="C999" s="455" t="s">
        <v>765</v>
      </c>
      <c r="D999" s="152"/>
      <c r="E999" s="152">
        <v>1</v>
      </c>
      <c r="F999" s="456">
        <v>0</v>
      </c>
      <c r="G999" s="279">
        <f t="shared" si="17"/>
        <v>0</v>
      </c>
      <c r="H999" s="312">
        <f>G999*I7</f>
        <v>0</v>
      </c>
      <c r="I999" s="388"/>
    </row>
    <row r="1000" spans="2:9" s="171" customFormat="1">
      <c r="B1000" s="170"/>
      <c r="C1000" s="455" t="s">
        <v>766</v>
      </c>
      <c r="D1000" s="152"/>
      <c r="E1000" s="152">
        <v>0</v>
      </c>
      <c r="F1000" s="456">
        <v>875</v>
      </c>
      <c r="G1000" s="279">
        <f t="shared" si="17"/>
        <v>0</v>
      </c>
      <c r="H1000" s="312">
        <f>G1000*I7</f>
        <v>0</v>
      </c>
      <c r="I1000" s="388"/>
    </row>
    <row r="1001" spans="2:9" s="171" customFormat="1">
      <c r="B1001" s="170"/>
      <c r="C1001" s="455" t="s">
        <v>767</v>
      </c>
      <c r="D1001" s="152"/>
      <c r="E1001" s="152">
        <v>1</v>
      </c>
      <c r="F1001" s="456">
        <v>1125</v>
      </c>
      <c r="G1001" s="279">
        <f t="shared" si="17"/>
        <v>1125</v>
      </c>
      <c r="H1001" s="312">
        <f>G1001*I7</f>
        <v>95062.5</v>
      </c>
      <c r="I1001" s="388"/>
    </row>
    <row r="1002" spans="2:9" s="171" customFormat="1">
      <c r="B1002" s="170"/>
      <c r="C1002" s="455" t="s">
        <v>572</v>
      </c>
      <c r="D1002" s="152"/>
      <c r="E1002" s="152">
        <v>1</v>
      </c>
      <c r="F1002" s="456">
        <v>2250</v>
      </c>
      <c r="G1002" s="279">
        <f t="shared" si="17"/>
        <v>2250</v>
      </c>
      <c r="H1002" s="312">
        <f>G1002*I7</f>
        <v>190125</v>
      </c>
      <c r="I1002" s="388"/>
    </row>
    <row r="1003" spans="2:9" s="171" customFormat="1">
      <c r="B1003" s="170"/>
      <c r="C1003" s="455" t="s">
        <v>768</v>
      </c>
      <c r="D1003" s="152"/>
      <c r="E1003" s="152">
        <v>2</v>
      </c>
      <c r="F1003" s="456">
        <v>1875</v>
      </c>
      <c r="G1003" s="279">
        <f t="shared" si="17"/>
        <v>3750</v>
      </c>
      <c r="H1003" s="312">
        <f>G1003*I7</f>
        <v>316875</v>
      </c>
      <c r="I1003" s="388"/>
    </row>
    <row r="1004" spans="2:9" s="171" customFormat="1">
      <c r="B1004" s="170"/>
      <c r="C1004" s="455" t="s">
        <v>769</v>
      </c>
      <c r="D1004" s="152"/>
      <c r="E1004" s="152">
        <v>5</v>
      </c>
      <c r="F1004" s="456">
        <v>175</v>
      </c>
      <c r="G1004" s="279">
        <f t="shared" si="17"/>
        <v>875</v>
      </c>
      <c r="H1004" s="312">
        <f>G1004*I7</f>
        <v>73937.5</v>
      </c>
      <c r="I1004" s="388"/>
    </row>
    <row r="1005" spans="2:9" s="170" customFormat="1">
      <c r="C1005" s="382" t="s">
        <v>920</v>
      </c>
      <c r="D1005" s="87"/>
      <c r="E1005" s="87"/>
      <c r="F1005" s="457"/>
      <c r="G1005" s="206">
        <f>SUM(G991:G1004)</f>
        <v>18236.67279411765</v>
      </c>
      <c r="H1005" s="301">
        <f>G1005*I7</f>
        <v>1540998.8511029414</v>
      </c>
      <c r="I1005" s="390"/>
    </row>
    <row r="1006" spans="2:9" s="171" customFormat="1">
      <c r="B1006" s="170"/>
      <c r="C1006" s="91" t="s">
        <v>770</v>
      </c>
      <c r="D1006" s="152"/>
      <c r="E1006" s="152"/>
      <c r="F1006" s="454"/>
      <c r="G1006" s="279"/>
      <c r="H1006" s="312"/>
      <c r="I1006" s="388"/>
    </row>
    <row r="1007" spans="2:9" s="171" customFormat="1">
      <c r="B1007" s="170"/>
      <c r="C1007" s="455" t="s">
        <v>574</v>
      </c>
      <c r="D1007" s="152"/>
      <c r="E1007" s="152">
        <v>0</v>
      </c>
      <c r="F1007" s="454">
        <v>56.25</v>
      </c>
      <c r="G1007" s="279">
        <f t="shared" ref="G1007:G1013" si="18">E1007*F1007</f>
        <v>0</v>
      </c>
      <c r="H1007" s="312">
        <f>G1007*I7</f>
        <v>0</v>
      </c>
      <c r="I1007" s="388"/>
    </row>
    <row r="1008" spans="2:9" s="171" customFormat="1">
      <c r="B1008" s="170"/>
      <c r="C1008" s="455" t="s">
        <v>575</v>
      </c>
      <c r="D1008" s="152"/>
      <c r="E1008" s="152">
        <v>0</v>
      </c>
      <c r="F1008" s="454">
        <v>125</v>
      </c>
      <c r="G1008" s="279">
        <f t="shared" si="18"/>
        <v>0</v>
      </c>
      <c r="H1008" s="312">
        <f>G1008*I7</f>
        <v>0</v>
      </c>
      <c r="I1008" s="388"/>
    </row>
    <row r="1009" spans="2:9" s="171" customFormat="1">
      <c r="B1009" s="170"/>
      <c r="C1009" s="455" t="s">
        <v>573</v>
      </c>
      <c r="D1009" s="152"/>
      <c r="E1009" s="152">
        <v>2</v>
      </c>
      <c r="F1009" s="454">
        <v>1250</v>
      </c>
      <c r="G1009" s="279">
        <f t="shared" si="18"/>
        <v>2500</v>
      </c>
      <c r="H1009" s="312">
        <f>G1009*I7</f>
        <v>211250</v>
      </c>
      <c r="I1009" s="388"/>
    </row>
    <row r="1010" spans="2:9" s="171" customFormat="1">
      <c r="B1010" s="170"/>
      <c r="C1010" s="455" t="s">
        <v>771</v>
      </c>
      <c r="D1010" s="152"/>
      <c r="E1010" s="152">
        <v>0</v>
      </c>
      <c r="F1010" s="454">
        <v>250.00000000000006</v>
      </c>
      <c r="G1010" s="279">
        <f t="shared" si="18"/>
        <v>0</v>
      </c>
      <c r="H1010" s="312">
        <f>G1010*I7</f>
        <v>0</v>
      </c>
      <c r="I1010" s="388"/>
    </row>
    <row r="1011" spans="2:9" s="171" customFormat="1">
      <c r="B1011" s="170"/>
      <c r="C1011" s="455" t="s">
        <v>576</v>
      </c>
      <c r="D1011" s="152"/>
      <c r="E1011" s="152">
        <v>6</v>
      </c>
      <c r="F1011" s="454">
        <v>75</v>
      </c>
      <c r="G1011" s="279">
        <f t="shared" si="18"/>
        <v>450</v>
      </c>
      <c r="H1011" s="312">
        <f>G1011*I7</f>
        <v>38025</v>
      </c>
      <c r="I1011" s="388"/>
    </row>
    <row r="1012" spans="2:9" s="171" customFormat="1">
      <c r="B1012" s="170"/>
      <c r="C1012" s="455" t="s">
        <v>515</v>
      </c>
      <c r="D1012" s="152"/>
      <c r="E1012" s="152">
        <v>1</v>
      </c>
      <c r="F1012" s="454">
        <v>187.5</v>
      </c>
      <c r="G1012" s="279">
        <f t="shared" si="18"/>
        <v>187.5</v>
      </c>
      <c r="H1012" s="312">
        <f>G1012*I7</f>
        <v>15843.75</v>
      </c>
      <c r="I1012" s="388"/>
    </row>
    <row r="1013" spans="2:9" s="171" customFormat="1">
      <c r="B1013" s="170"/>
      <c r="C1013" s="455" t="s">
        <v>541</v>
      </c>
      <c r="D1013" s="152"/>
      <c r="E1013" s="152">
        <v>10</v>
      </c>
      <c r="F1013" s="454">
        <v>43.75</v>
      </c>
      <c r="G1013" s="279">
        <f t="shared" si="18"/>
        <v>437.5</v>
      </c>
      <c r="H1013" s="312">
        <f>G1013*I7</f>
        <v>36968.75</v>
      </c>
      <c r="I1013" s="388"/>
    </row>
    <row r="1014" spans="2:9" s="171" customFormat="1">
      <c r="B1014" s="170"/>
      <c r="C1014" s="382" t="s">
        <v>921</v>
      </c>
      <c r="D1014" s="87"/>
      <c r="E1014" s="87"/>
      <c r="F1014" s="457"/>
      <c r="G1014" s="206">
        <f>SUM(G1007:G1013)</f>
        <v>3575</v>
      </c>
      <c r="H1014" s="301">
        <f>G1014*I7</f>
        <v>302087.5</v>
      </c>
      <c r="I1014" s="388"/>
    </row>
    <row r="1015" spans="2:9" s="171" customFormat="1">
      <c r="C1015" s="458" t="s">
        <v>867</v>
      </c>
      <c r="D1015" s="152"/>
      <c r="E1015" s="152"/>
      <c r="F1015" s="454"/>
      <c r="G1015" s="279"/>
      <c r="H1015" s="312">
        <f>G1015*I7</f>
        <v>0</v>
      </c>
      <c r="I1015" s="388"/>
    </row>
    <row r="1016" spans="2:9" s="171" customFormat="1">
      <c r="B1016" s="170"/>
      <c r="C1016" s="91" t="s">
        <v>577</v>
      </c>
      <c r="D1016" s="87"/>
      <c r="E1016" s="152"/>
      <c r="F1016" s="152"/>
      <c r="G1016" s="206">
        <f>(G1005+G1014+G1015)*1.05</f>
        <v>22902.256433823535</v>
      </c>
      <c r="H1016" s="301">
        <f>G1016*I7</f>
        <v>1935240.6686580887</v>
      </c>
      <c r="I1016" s="388"/>
    </row>
    <row r="1017" spans="2:9" s="171" customFormat="1" ht="15" customHeight="1" thickBot="1">
      <c r="B1017" s="170"/>
      <c r="C1017" s="710" t="s">
        <v>1031</v>
      </c>
      <c r="D1017" s="711"/>
      <c r="E1017" s="711"/>
      <c r="F1017" s="711"/>
      <c r="G1017" s="711"/>
      <c r="H1017" s="711"/>
      <c r="I1017" s="712"/>
    </row>
    <row r="1020" spans="2:9" ht="15.75" thickBot="1"/>
    <row r="1021" spans="2:9">
      <c r="B1021" s="79" t="str">
        <f>'Costed Impl plan'!B130</f>
        <v>3.2.1.2</v>
      </c>
      <c r="C1021" s="704" t="str">
        <f>'Costed Impl plan'!C130</f>
        <v>Provide utilities and supplies</v>
      </c>
      <c r="D1021" s="705"/>
      <c r="E1021" s="705"/>
      <c r="F1021" s="705"/>
      <c r="G1021" s="705"/>
      <c r="H1021" s="713"/>
      <c r="I1021" s="706"/>
    </row>
    <row r="1022" spans="2:9" ht="30">
      <c r="C1022" s="131" t="s">
        <v>452</v>
      </c>
      <c r="D1022" s="113" t="s">
        <v>703</v>
      </c>
      <c r="E1022" s="113" t="s">
        <v>453</v>
      </c>
      <c r="F1022" s="113" t="s">
        <v>935</v>
      </c>
      <c r="G1022" s="270" t="s">
        <v>932</v>
      </c>
      <c r="H1022" s="270" t="s">
        <v>933</v>
      </c>
      <c r="I1022" s="375" t="s">
        <v>651</v>
      </c>
    </row>
    <row r="1023" spans="2:9">
      <c r="C1023" s="77" t="s">
        <v>578</v>
      </c>
      <c r="D1023" s="74"/>
      <c r="E1023" s="74"/>
      <c r="F1023" s="74"/>
      <c r="G1023" s="164"/>
      <c r="H1023" s="300"/>
      <c r="I1023" s="376"/>
    </row>
    <row r="1024" spans="2:9">
      <c r="C1024" s="172" t="s">
        <v>1083</v>
      </c>
      <c r="D1024" s="74" t="s">
        <v>776</v>
      </c>
      <c r="E1024" s="74">
        <v>1</v>
      </c>
      <c r="F1024" s="74">
        <v>0</v>
      </c>
      <c r="G1024" s="164">
        <f t="shared" ref="G1024:G1029" si="19">E1024*F1024</f>
        <v>0</v>
      </c>
      <c r="H1024" s="300">
        <f>G1024*I7</f>
        <v>0</v>
      </c>
      <c r="I1024" s="376"/>
    </row>
    <row r="1025" spans="2:9">
      <c r="C1025" s="172" t="s">
        <v>772</v>
      </c>
      <c r="D1025" s="74" t="s">
        <v>776</v>
      </c>
      <c r="E1025" s="74">
        <v>1</v>
      </c>
      <c r="F1025" s="74">
        <v>250</v>
      </c>
      <c r="G1025" s="164">
        <f t="shared" si="19"/>
        <v>250</v>
      </c>
      <c r="H1025" s="300">
        <f>G1025*I7</f>
        <v>21125</v>
      </c>
      <c r="I1025" s="376"/>
    </row>
    <row r="1026" spans="2:9">
      <c r="C1026" s="172" t="s">
        <v>544</v>
      </c>
      <c r="D1026" s="74" t="s">
        <v>776</v>
      </c>
      <c r="E1026" s="74">
        <v>1</v>
      </c>
      <c r="F1026" s="162">
        <v>0</v>
      </c>
      <c r="G1026" s="164">
        <f t="shared" si="19"/>
        <v>0</v>
      </c>
      <c r="H1026" s="300">
        <f>G1026*I7</f>
        <v>0</v>
      </c>
      <c r="I1026" s="376"/>
    </row>
    <row r="1027" spans="2:9">
      <c r="C1027" s="172" t="s">
        <v>773</v>
      </c>
      <c r="D1027" s="74" t="s">
        <v>776</v>
      </c>
      <c r="E1027" s="74">
        <v>15</v>
      </c>
      <c r="F1027" s="74">
        <v>12</v>
      </c>
      <c r="G1027" s="164">
        <f t="shared" si="19"/>
        <v>180</v>
      </c>
      <c r="H1027" s="300">
        <f>G1027*I7</f>
        <v>15210</v>
      </c>
      <c r="I1027" s="376"/>
    </row>
    <row r="1028" spans="2:9">
      <c r="C1028" s="172" t="s">
        <v>774</v>
      </c>
      <c r="D1028" s="74" t="s">
        <v>776</v>
      </c>
      <c r="E1028" s="74">
        <v>1</v>
      </c>
      <c r="F1028" s="74">
        <v>50</v>
      </c>
      <c r="G1028" s="164">
        <f t="shared" si="19"/>
        <v>50</v>
      </c>
      <c r="H1028" s="300">
        <f>G1028*I7</f>
        <v>4225</v>
      </c>
      <c r="I1028" s="376"/>
    </row>
    <row r="1029" spans="2:9">
      <c r="C1029" s="172" t="s">
        <v>775</v>
      </c>
      <c r="D1029" s="74" t="s">
        <v>777</v>
      </c>
      <c r="E1029" s="173">
        <v>1</v>
      </c>
      <c r="F1029" s="74">
        <v>250</v>
      </c>
      <c r="G1029" s="164">
        <f t="shared" si="19"/>
        <v>250</v>
      </c>
      <c r="H1029" s="300">
        <f>G1029*I7</f>
        <v>21125</v>
      </c>
      <c r="I1029" s="376"/>
    </row>
    <row r="1030" spans="2:9">
      <c r="B1030" s="83"/>
      <c r="C1030" s="216" t="s">
        <v>867</v>
      </c>
      <c r="D1030" s="74"/>
      <c r="E1030" s="74"/>
      <c r="F1030" s="74"/>
      <c r="G1030" s="164"/>
      <c r="H1030" s="300">
        <f>G1030*I7</f>
        <v>0</v>
      </c>
      <c r="I1030" s="376"/>
    </row>
    <row r="1031" spans="2:9" s="79" customFormat="1">
      <c r="C1031" s="77" t="s">
        <v>778</v>
      </c>
      <c r="D1031" s="82"/>
      <c r="E1031" s="82"/>
      <c r="F1031" s="82"/>
      <c r="G1031" s="267">
        <f>SUM(G1024:G1030)</f>
        <v>730</v>
      </c>
      <c r="H1031" s="299">
        <f>G1031*I7</f>
        <v>61685</v>
      </c>
      <c r="I1031" s="445"/>
    </row>
    <row r="1032" spans="2:9" ht="15" customHeight="1" thickBot="1">
      <c r="C1032" s="710" t="s">
        <v>1051</v>
      </c>
      <c r="D1032" s="711"/>
      <c r="E1032" s="711"/>
      <c r="F1032" s="711"/>
      <c r="G1032" s="711"/>
      <c r="H1032" s="711"/>
      <c r="I1032" s="712"/>
    </row>
    <row r="1035" spans="2:9" ht="15.75" thickBot="1"/>
    <row r="1036" spans="2:9" ht="15" customHeight="1">
      <c r="B1036" s="79" t="str">
        <f>'Costed Impl plan'!B131</f>
        <v>3.2.2</v>
      </c>
      <c r="C1036" s="704" t="s">
        <v>304</v>
      </c>
      <c r="D1036" s="705"/>
      <c r="E1036" s="705"/>
      <c r="F1036" s="705"/>
      <c r="G1036" s="705"/>
      <c r="H1036" s="713"/>
      <c r="I1036" s="706"/>
    </row>
    <row r="1037" spans="2:9" ht="30">
      <c r="C1037" s="131" t="s">
        <v>452</v>
      </c>
      <c r="D1037" s="113" t="s">
        <v>703</v>
      </c>
      <c r="E1037" s="113" t="s">
        <v>453</v>
      </c>
      <c r="F1037" s="113" t="s">
        <v>935</v>
      </c>
      <c r="G1037" s="270" t="s">
        <v>932</v>
      </c>
      <c r="H1037" s="270" t="s">
        <v>933</v>
      </c>
      <c r="I1037" s="375" t="s">
        <v>651</v>
      </c>
    </row>
    <row r="1038" spans="2:9">
      <c r="C1038" s="72" t="s">
        <v>1080</v>
      </c>
      <c r="D1038" s="74" t="s">
        <v>694</v>
      </c>
      <c r="E1038" s="74">
        <v>2</v>
      </c>
      <c r="F1038" s="214">
        <v>2500</v>
      </c>
      <c r="G1038" s="277">
        <f t="shared" ref="G1038:G1041" si="20">E1038*F1038</f>
        <v>5000</v>
      </c>
      <c r="H1038" s="310">
        <f>G1038*I7</f>
        <v>422500</v>
      </c>
      <c r="I1038" s="375"/>
    </row>
    <row r="1039" spans="2:9">
      <c r="C1039" s="72" t="s">
        <v>1079</v>
      </c>
      <c r="D1039" s="74" t="s">
        <v>694</v>
      </c>
      <c r="E1039" s="74">
        <v>2</v>
      </c>
      <c r="F1039" s="214">
        <v>1500</v>
      </c>
      <c r="G1039" s="277">
        <f t="shared" si="20"/>
        <v>3000</v>
      </c>
      <c r="H1039" s="310">
        <f>G1039*I7</f>
        <v>253500</v>
      </c>
      <c r="I1039" s="375"/>
    </row>
    <row r="1040" spans="2:9">
      <c r="C1040" s="72" t="s">
        <v>1081</v>
      </c>
      <c r="D1040" s="74" t="s">
        <v>694</v>
      </c>
      <c r="E1040" s="74">
        <v>1</v>
      </c>
      <c r="F1040" s="214">
        <f>95000/77</f>
        <v>1233.7662337662337</v>
      </c>
      <c r="G1040" s="277">
        <f t="shared" si="20"/>
        <v>1233.7662337662337</v>
      </c>
      <c r="H1040" s="310">
        <f>G1040*I7</f>
        <v>104253.24675324674</v>
      </c>
      <c r="I1040" s="375"/>
    </row>
    <row r="1041" spans="2:9">
      <c r="C1041" s="72" t="s">
        <v>1082</v>
      </c>
      <c r="D1041" s="74" t="s">
        <v>694</v>
      </c>
      <c r="E1041" s="74">
        <v>10</v>
      </c>
      <c r="F1041" s="214">
        <f>20000/77</f>
        <v>259.74025974025972</v>
      </c>
      <c r="G1041" s="277">
        <f t="shared" si="20"/>
        <v>2597.4025974025972</v>
      </c>
      <c r="H1041" s="310">
        <f>G1041*I7</f>
        <v>219480.51948051946</v>
      </c>
      <c r="I1041" s="375"/>
    </row>
    <row r="1042" spans="2:9">
      <c r="C1042" s="131" t="s">
        <v>779</v>
      </c>
      <c r="D1042" s="113"/>
      <c r="E1042" s="113"/>
      <c r="F1042" s="113"/>
      <c r="G1042" s="270">
        <f>SUM(G1038:G1040)*1.1</f>
        <v>10157.142857142857</v>
      </c>
      <c r="H1042" s="302">
        <f>G1042*I7</f>
        <v>858278.57142857136</v>
      </c>
      <c r="I1042" s="375"/>
    </row>
    <row r="1043" spans="2:9" ht="15" customHeight="1" thickBot="1">
      <c r="C1043" s="710" t="s">
        <v>1051</v>
      </c>
      <c r="D1043" s="711"/>
      <c r="E1043" s="711"/>
      <c r="F1043" s="711"/>
      <c r="G1043" s="711"/>
      <c r="H1043" s="711"/>
      <c r="I1043" s="712"/>
    </row>
    <row r="1044" spans="2:9">
      <c r="C1044" s="257"/>
      <c r="D1044" s="257"/>
      <c r="E1044" s="257"/>
      <c r="F1044" s="257"/>
      <c r="G1044" s="282"/>
      <c r="H1044" s="315"/>
      <c r="I1044" s="120"/>
    </row>
    <row r="1046" spans="2:9" ht="15.75" thickBot="1"/>
    <row r="1047" spans="2:9" ht="15" customHeight="1">
      <c r="B1047" s="79" t="str">
        <f>'Costed Impl plan'!B132</f>
        <v>3.2.3</v>
      </c>
      <c r="C1047" s="704" t="s">
        <v>1084</v>
      </c>
      <c r="D1047" s="705"/>
      <c r="E1047" s="705"/>
      <c r="F1047" s="705"/>
      <c r="G1047" s="705"/>
      <c r="H1047" s="713"/>
      <c r="I1047" s="706"/>
    </row>
    <row r="1048" spans="2:9">
      <c r="C1048" s="72" t="s">
        <v>1085</v>
      </c>
      <c r="D1048" s="74"/>
      <c r="E1048" s="74"/>
      <c r="F1048" s="74"/>
      <c r="G1048" s="164"/>
      <c r="H1048" s="300"/>
      <c r="I1048" s="376"/>
    </row>
    <row r="1049" spans="2:9" s="171" customFormat="1">
      <c r="B1049" s="170"/>
      <c r="C1049" s="91" t="s">
        <v>502</v>
      </c>
      <c r="D1049" s="87"/>
      <c r="E1049" s="152"/>
      <c r="F1049" s="152"/>
      <c r="G1049" s="206">
        <f>G970</f>
        <v>570.53571428571433</v>
      </c>
      <c r="H1049" s="301">
        <f>G1049*I7</f>
        <v>48210.267857142862</v>
      </c>
      <c r="I1049" s="388"/>
    </row>
    <row r="1050" spans="2:9" ht="15" customHeight="1" thickBot="1">
      <c r="C1050" s="710" t="s">
        <v>1051</v>
      </c>
      <c r="D1050" s="711"/>
      <c r="E1050" s="711"/>
      <c r="F1050" s="711"/>
      <c r="G1050" s="711"/>
      <c r="H1050" s="711"/>
      <c r="I1050" s="712"/>
    </row>
    <row r="1052" spans="2:9" ht="15.75" thickBot="1"/>
    <row r="1053" spans="2:9" ht="15" customHeight="1">
      <c r="B1053" s="79" t="str">
        <f>'Costed Impl plan'!B135</f>
        <v>3.3.1</v>
      </c>
      <c r="C1053" s="704" t="str">
        <f>'Costed Impl plan'!C135</f>
        <v>Conduct 6-monthly donor coordination meetings</v>
      </c>
      <c r="D1053" s="705"/>
      <c r="E1053" s="705"/>
      <c r="F1053" s="705"/>
      <c r="G1053" s="705"/>
      <c r="H1053" s="713"/>
      <c r="I1053" s="706"/>
    </row>
    <row r="1054" spans="2:9">
      <c r="C1054" s="72" t="s">
        <v>1087</v>
      </c>
      <c r="D1054" s="74"/>
      <c r="E1054" s="74"/>
      <c r="F1054" s="74"/>
      <c r="G1054" s="164"/>
      <c r="H1054" s="300"/>
      <c r="I1054" s="376"/>
    </row>
    <row r="1055" spans="2:9" s="171" customFormat="1">
      <c r="B1055" s="170"/>
      <c r="C1055" s="91" t="s">
        <v>502</v>
      </c>
      <c r="D1055" s="87"/>
      <c r="E1055" s="152"/>
      <c r="F1055" s="152"/>
      <c r="G1055" s="206">
        <f>G1049</f>
        <v>570.53571428571433</v>
      </c>
      <c r="H1055" s="206">
        <f>H1049</f>
        <v>48210.267857142862</v>
      </c>
      <c r="I1055" s="388"/>
    </row>
    <row r="1056" spans="2:9" ht="15" customHeight="1" thickBot="1">
      <c r="C1056" s="710" t="s">
        <v>1051</v>
      </c>
      <c r="D1056" s="711"/>
      <c r="E1056" s="711"/>
      <c r="F1056" s="711"/>
      <c r="G1056" s="711"/>
      <c r="H1056" s="711"/>
      <c r="I1056" s="712"/>
    </row>
    <row r="1058" spans="2:9" ht="15.75" thickBot="1"/>
    <row r="1059" spans="2:9" ht="15" customHeight="1">
      <c r="C1059" s="732" t="s">
        <v>1086</v>
      </c>
      <c r="D1059" s="733"/>
      <c r="E1059" s="733"/>
      <c r="F1059" s="733"/>
      <c r="G1059" s="733"/>
      <c r="H1059" s="733"/>
      <c r="I1059" s="734"/>
    </row>
    <row r="1060" spans="2:9">
      <c r="C1060" s="72" t="s">
        <v>1088</v>
      </c>
      <c r="D1060" s="74"/>
      <c r="E1060" s="74"/>
      <c r="F1060" s="74"/>
      <c r="G1060" s="164"/>
      <c r="H1060" s="300"/>
      <c r="I1060" s="376"/>
    </row>
    <row r="1061" spans="2:9" ht="30">
      <c r="B1061" s="79" t="str">
        <f>'Costed Impl plan'!B136</f>
        <v>3.3.2</v>
      </c>
      <c r="C1061" s="131" t="s">
        <v>452</v>
      </c>
      <c r="D1061" s="113" t="s">
        <v>703</v>
      </c>
      <c r="E1061" s="113" t="s">
        <v>453</v>
      </c>
      <c r="F1061" s="113" t="s">
        <v>935</v>
      </c>
      <c r="G1061" s="270" t="s">
        <v>932</v>
      </c>
      <c r="H1061" s="270" t="s">
        <v>933</v>
      </c>
      <c r="I1061" s="375" t="s">
        <v>651</v>
      </c>
    </row>
    <row r="1062" spans="2:9">
      <c r="C1062" s="72" t="s">
        <v>454</v>
      </c>
      <c r="D1062" s="74" t="s">
        <v>704</v>
      </c>
      <c r="E1062" s="106">
        <v>20</v>
      </c>
      <c r="F1062" s="156">
        <f>F950</f>
        <v>0</v>
      </c>
      <c r="G1062" s="164">
        <f t="shared" ref="G1062:G1067" si="21">E1062*F1062</f>
        <v>0</v>
      </c>
      <c r="H1062" s="300">
        <f>G1062*I7</f>
        <v>0</v>
      </c>
      <c r="I1062" s="376"/>
    </row>
    <row r="1063" spans="2:9">
      <c r="C1063" s="72" t="s">
        <v>565</v>
      </c>
      <c r="D1063" s="74" t="s">
        <v>704</v>
      </c>
      <c r="E1063" s="106">
        <v>20</v>
      </c>
      <c r="F1063" s="156">
        <f>F951</f>
        <v>4</v>
      </c>
      <c r="G1063" s="164">
        <f t="shared" si="21"/>
        <v>80</v>
      </c>
      <c r="H1063" s="300">
        <f>G1063*I7</f>
        <v>6760</v>
      </c>
      <c r="I1063" s="376"/>
    </row>
    <row r="1064" spans="2:9">
      <c r="C1064" s="72" t="s">
        <v>457</v>
      </c>
      <c r="D1064" s="74" t="s">
        <v>704</v>
      </c>
      <c r="E1064" s="106">
        <v>20</v>
      </c>
      <c r="F1064" s="156">
        <v>6.5</v>
      </c>
      <c r="G1064" s="164">
        <f t="shared" si="21"/>
        <v>130</v>
      </c>
      <c r="H1064" s="300">
        <f>G1064*I7</f>
        <v>10985</v>
      </c>
      <c r="I1064" s="376"/>
    </row>
    <row r="1065" spans="2:9">
      <c r="C1065" s="72" t="s">
        <v>1161</v>
      </c>
      <c r="D1065" s="74" t="s">
        <v>704</v>
      </c>
      <c r="E1065" s="106">
        <v>20</v>
      </c>
      <c r="F1065" s="156">
        <v>18</v>
      </c>
      <c r="G1065" s="164">
        <f t="shared" si="21"/>
        <v>360</v>
      </c>
      <c r="H1065" s="300">
        <f>G1065*I8</f>
        <v>0</v>
      </c>
      <c r="I1065" s="376"/>
    </row>
    <row r="1066" spans="2:9">
      <c r="C1066" s="72" t="s">
        <v>458</v>
      </c>
      <c r="D1066" s="74" t="s">
        <v>704</v>
      </c>
      <c r="E1066" s="106">
        <v>20</v>
      </c>
      <c r="F1066" s="156">
        <f>F953</f>
        <v>9.0909090909090917</v>
      </c>
      <c r="G1066" s="164">
        <f t="shared" si="21"/>
        <v>181.81818181818184</v>
      </c>
      <c r="H1066" s="300">
        <f>G1066*I7</f>
        <v>15363.636363636366</v>
      </c>
      <c r="I1066" s="376"/>
    </row>
    <row r="1067" spans="2:9">
      <c r="C1067" s="72" t="s">
        <v>459</v>
      </c>
      <c r="D1067" s="74" t="s">
        <v>1065</v>
      </c>
      <c r="E1067" s="106">
        <v>1</v>
      </c>
      <c r="F1067" s="156">
        <f t="shared" ref="F1067" si="22">F955</f>
        <v>38.961038961038959</v>
      </c>
      <c r="G1067" s="164">
        <f t="shared" si="21"/>
        <v>38.961038961038959</v>
      </c>
      <c r="H1067" s="300">
        <f>G1067*I7</f>
        <v>3292.207792207792</v>
      </c>
      <c r="I1067" s="376"/>
    </row>
    <row r="1068" spans="2:9" s="79" customFormat="1">
      <c r="C1068" s="216" t="s">
        <v>867</v>
      </c>
      <c r="D1068" s="82"/>
      <c r="E1068" s="82"/>
      <c r="F1068" s="96"/>
      <c r="G1068" s="164"/>
      <c r="H1068" s="300">
        <f>G1068*I7</f>
        <v>0</v>
      </c>
      <c r="I1068" s="445"/>
    </row>
    <row r="1069" spans="2:9">
      <c r="C1069" s="76" t="s">
        <v>502</v>
      </c>
      <c r="D1069" s="94"/>
      <c r="E1069" s="132"/>
      <c r="F1069" s="132"/>
      <c r="G1069" s="273">
        <f>SUM(G1062:G1068)</f>
        <v>790.77922077922085</v>
      </c>
      <c r="H1069" s="306">
        <f>G1069*I7</f>
        <v>66820.844155844155</v>
      </c>
      <c r="I1069" s="376"/>
    </row>
    <row r="1070" spans="2:9" ht="15.75" customHeight="1" thickBot="1">
      <c r="C1070" s="710" t="s">
        <v>1051</v>
      </c>
      <c r="D1070" s="711"/>
      <c r="E1070" s="711"/>
      <c r="F1070" s="711"/>
      <c r="G1070" s="711"/>
      <c r="H1070" s="711"/>
      <c r="I1070" s="712"/>
    </row>
    <row r="1072" spans="2:9" ht="15.75" thickBot="1"/>
    <row r="1073" spans="2:9" s="171" customFormat="1">
      <c r="B1073" s="170" t="str">
        <f>'Costed Impl plan'!B137</f>
        <v>3.3.3</v>
      </c>
      <c r="C1073" s="796" t="s">
        <v>1091</v>
      </c>
      <c r="D1073" s="797"/>
      <c r="E1073" s="797"/>
      <c r="F1073" s="797"/>
      <c r="G1073" s="797"/>
      <c r="H1073" s="797"/>
      <c r="I1073" s="798"/>
    </row>
    <row r="1074" spans="2:9" s="171" customFormat="1">
      <c r="B1074" s="170"/>
      <c r="C1074" s="438" t="s">
        <v>1093</v>
      </c>
      <c r="D1074" s="152"/>
      <c r="E1074" s="152"/>
      <c r="F1074" s="152"/>
      <c r="G1074" s="279"/>
      <c r="H1074" s="279"/>
      <c r="I1074" s="388"/>
    </row>
    <row r="1075" spans="2:9" s="171" customFormat="1" ht="30">
      <c r="B1075" s="170"/>
      <c r="C1075" s="414" t="s">
        <v>452</v>
      </c>
      <c r="D1075" s="190" t="s">
        <v>703</v>
      </c>
      <c r="E1075" s="190" t="s">
        <v>453</v>
      </c>
      <c r="F1075" s="190" t="s">
        <v>935</v>
      </c>
      <c r="G1075" s="293" t="s">
        <v>932</v>
      </c>
      <c r="H1075" s="293" t="s">
        <v>933</v>
      </c>
      <c r="I1075" s="419" t="s">
        <v>651</v>
      </c>
    </row>
    <row r="1076" spans="2:9" s="171" customFormat="1">
      <c r="B1076" s="170"/>
      <c r="C1076" s="438" t="s">
        <v>1090</v>
      </c>
      <c r="D1076" s="295" t="s">
        <v>1089</v>
      </c>
      <c r="E1076" s="152">
        <v>20</v>
      </c>
      <c r="F1076" s="454">
        <v>0</v>
      </c>
      <c r="G1076" s="279">
        <f t="shared" ref="G1076:G1086" si="23">E1076*F1076</f>
        <v>0</v>
      </c>
      <c r="H1076" s="279">
        <f>G1076*I7</f>
        <v>0</v>
      </c>
      <c r="I1076" s="388"/>
    </row>
    <row r="1077" spans="2:9" s="171" customFormat="1">
      <c r="B1077" s="170"/>
      <c r="C1077" s="438" t="s">
        <v>587</v>
      </c>
      <c r="D1077" s="295" t="s">
        <v>748</v>
      </c>
      <c r="E1077" s="152">
        <f>200*2</f>
        <v>400</v>
      </c>
      <c r="F1077" s="454">
        <v>0</v>
      </c>
      <c r="G1077" s="279">
        <f t="shared" si="23"/>
        <v>0</v>
      </c>
      <c r="H1077" s="279">
        <f>G1077*I7</f>
        <v>0</v>
      </c>
      <c r="I1077" s="388"/>
    </row>
    <row r="1078" spans="2:9" s="171" customFormat="1">
      <c r="B1078" s="170"/>
      <c r="C1078" s="438" t="s">
        <v>458</v>
      </c>
      <c r="D1078" s="295" t="s">
        <v>748</v>
      </c>
      <c r="E1078" s="152">
        <f>1200*2</f>
        <v>2400</v>
      </c>
      <c r="F1078" s="454">
        <v>0</v>
      </c>
      <c r="G1078" s="279">
        <f t="shared" si="23"/>
        <v>0</v>
      </c>
      <c r="H1078" s="279">
        <f>G1078*I7</f>
        <v>0</v>
      </c>
      <c r="I1078" s="388"/>
    </row>
    <row r="1079" spans="2:9" s="171" customFormat="1">
      <c r="B1079" s="170"/>
      <c r="C1079" s="438" t="s">
        <v>780</v>
      </c>
      <c r="D1079" s="295" t="s">
        <v>748</v>
      </c>
      <c r="E1079" s="152">
        <v>400</v>
      </c>
      <c r="F1079" s="454">
        <v>0</v>
      </c>
      <c r="G1079" s="279">
        <f t="shared" si="23"/>
        <v>0</v>
      </c>
      <c r="H1079" s="279">
        <f>G1079*I7</f>
        <v>0</v>
      </c>
      <c r="I1079" s="388"/>
    </row>
    <row r="1080" spans="2:9" s="171" customFormat="1">
      <c r="B1080" s="170"/>
      <c r="C1080" s="438" t="s">
        <v>781</v>
      </c>
      <c r="D1080" s="295" t="s">
        <v>748</v>
      </c>
      <c r="E1080" s="152"/>
      <c r="F1080" s="454">
        <v>0</v>
      </c>
      <c r="G1080" s="279">
        <f t="shared" si="23"/>
        <v>0</v>
      </c>
      <c r="H1080" s="279">
        <f>G1080*I7</f>
        <v>0</v>
      </c>
      <c r="I1080" s="388"/>
    </row>
    <row r="1081" spans="2:9" s="171" customFormat="1" ht="18.75" customHeight="1">
      <c r="B1081" s="170"/>
      <c r="C1081" s="459" t="s">
        <v>782</v>
      </c>
      <c r="D1081" s="295" t="s">
        <v>748</v>
      </c>
      <c r="E1081" s="152">
        <f>1200</f>
        <v>1200</v>
      </c>
      <c r="F1081" s="454">
        <v>0</v>
      </c>
      <c r="G1081" s="279">
        <f t="shared" si="23"/>
        <v>0</v>
      </c>
      <c r="H1081" s="279">
        <f>G1081*I7</f>
        <v>0</v>
      </c>
      <c r="I1081" s="388"/>
    </row>
    <row r="1082" spans="2:9" s="171" customFormat="1">
      <c r="B1082" s="170"/>
      <c r="C1082" s="438" t="s">
        <v>783</v>
      </c>
      <c r="D1082" s="295" t="s">
        <v>784</v>
      </c>
      <c r="E1082" s="152">
        <v>1</v>
      </c>
      <c r="F1082" s="595">
        <v>0</v>
      </c>
      <c r="G1082" s="279">
        <f t="shared" si="23"/>
        <v>0</v>
      </c>
      <c r="H1082" s="279">
        <f>G1082*I7</f>
        <v>0</v>
      </c>
      <c r="I1082" s="388"/>
    </row>
    <row r="1083" spans="2:9" s="171" customFormat="1">
      <c r="B1083" s="170"/>
      <c r="C1083" s="438" t="s">
        <v>459</v>
      </c>
      <c r="D1083" s="295" t="s">
        <v>784</v>
      </c>
      <c r="E1083" s="152">
        <v>20</v>
      </c>
      <c r="F1083" s="454">
        <v>0</v>
      </c>
      <c r="G1083" s="279">
        <f t="shared" si="23"/>
        <v>0</v>
      </c>
      <c r="H1083" s="279">
        <f>G1083*I7</f>
        <v>0</v>
      </c>
      <c r="I1083" s="388"/>
    </row>
    <row r="1084" spans="2:9" s="171" customFormat="1">
      <c r="B1084" s="170"/>
      <c r="C1084" s="438" t="s">
        <v>580</v>
      </c>
      <c r="D1084" s="295" t="s">
        <v>748</v>
      </c>
      <c r="E1084" s="152">
        <v>2400</v>
      </c>
      <c r="F1084" s="454">
        <v>0</v>
      </c>
      <c r="G1084" s="279">
        <f t="shared" si="23"/>
        <v>0</v>
      </c>
      <c r="H1084" s="279">
        <f>G1084*I7</f>
        <v>0</v>
      </c>
      <c r="I1084" s="388"/>
    </row>
    <row r="1085" spans="2:9" s="171" customFormat="1">
      <c r="B1085" s="170"/>
      <c r="C1085" s="438" t="s">
        <v>581</v>
      </c>
      <c r="D1085" s="295" t="s">
        <v>784</v>
      </c>
      <c r="E1085" s="152">
        <v>10</v>
      </c>
      <c r="F1085" s="454">
        <v>0</v>
      </c>
      <c r="G1085" s="279">
        <f t="shared" si="23"/>
        <v>0</v>
      </c>
      <c r="H1085" s="279">
        <f>G1085*I7</f>
        <v>0</v>
      </c>
      <c r="I1085" s="388"/>
    </row>
    <row r="1086" spans="2:9" s="171" customFormat="1">
      <c r="B1086" s="170"/>
      <c r="C1086" s="438" t="s">
        <v>582</v>
      </c>
      <c r="D1086" s="295" t="s">
        <v>748</v>
      </c>
      <c r="E1086" s="152">
        <v>1000</v>
      </c>
      <c r="F1086" s="454">
        <v>0</v>
      </c>
      <c r="G1086" s="279">
        <f t="shared" si="23"/>
        <v>0</v>
      </c>
      <c r="H1086" s="461">
        <f>G1086*I7</f>
        <v>0</v>
      </c>
      <c r="I1086" s="388"/>
    </row>
    <row r="1087" spans="2:9" s="170" customFormat="1">
      <c r="C1087" s="458" t="s">
        <v>1092</v>
      </c>
      <c r="D1087" s="462"/>
      <c r="E1087" s="87"/>
      <c r="F1087" s="460">
        <v>0</v>
      </c>
      <c r="G1087" s="389">
        <f>SUM(G1076:G1086)*30%</f>
        <v>0</v>
      </c>
      <c r="H1087" s="279">
        <f>G1087*I7</f>
        <v>0</v>
      </c>
      <c r="I1087" s="390"/>
    </row>
    <row r="1088" spans="2:9" s="171" customFormat="1">
      <c r="B1088" s="170"/>
      <c r="C1088" s="91" t="s">
        <v>583</v>
      </c>
      <c r="D1088" s="87"/>
      <c r="E1088" s="152"/>
      <c r="F1088" s="152"/>
      <c r="G1088" s="206">
        <f>SUM(G1076:G1087)</f>
        <v>0</v>
      </c>
      <c r="H1088" s="206">
        <f>G1088*I7</f>
        <v>0</v>
      </c>
      <c r="I1088" s="388"/>
    </row>
    <row r="1089" spans="2:9" s="171" customFormat="1" ht="15" customHeight="1" thickBot="1">
      <c r="B1089" s="170"/>
      <c r="C1089" s="710" t="s">
        <v>1051</v>
      </c>
      <c r="D1089" s="711"/>
      <c r="E1089" s="711"/>
      <c r="F1089" s="711"/>
      <c r="G1089" s="711"/>
      <c r="H1089" s="711"/>
      <c r="I1089" s="712"/>
    </row>
    <row r="1092" spans="2:9" ht="15.75" thickBot="1"/>
    <row r="1093" spans="2:9" ht="25.5" customHeight="1">
      <c r="B1093" s="79" t="str">
        <f>'Costed Impl plan'!B138</f>
        <v>3.3.4</v>
      </c>
      <c r="C1093" s="704" t="str">
        <f>'Costed Impl plan'!C138</f>
        <v>Develop functional district level coordination under district health authority (CS) to be facilitated by local agency</v>
      </c>
      <c r="D1093" s="705"/>
      <c r="E1093" s="705"/>
      <c r="F1093" s="705"/>
      <c r="G1093" s="705"/>
      <c r="H1093" s="705"/>
      <c r="I1093" s="706"/>
    </row>
    <row r="1094" spans="2:9" ht="46.5" customHeight="1">
      <c r="C1094" s="707" t="s">
        <v>584</v>
      </c>
      <c r="D1094" s="708"/>
      <c r="E1094" s="708"/>
      <c r="F1094" s="708"/>
      <c r="G1094" s="708"/>
      <c r="H1094" s="708"/>
      <c r="I1094" s="709"/>
    </row>
    <row r="1095" spans="2:9" ht="30">
      <c r="C1095" s="131" t="s">
        <v>452</v>
      </c>
      <c r="D1095" s="113" t="s">
        <v>703</v>
      </c>
      <c r="E1095" s="113" t="s">
        <v>453</v>
      </c>
      <c r="F1095" s="113" t="s">
        <v>935</v>
      </c>
      <c r="G1095" s="270" t="s">
        <v>932</v>
      </c>
      <c r="H1095" s="270" t="s">
        <v>933</v>
      </c>
      <c r="I1095" s="375" t="s">
        <v>651</v>
      </c>
    </row>
    <row r="1096" spans="2:9">
      <c r="C1096" s="77" t="s">
        <v>585</v>
      </c>
      <c r="D1096" s="82"/>
      <c r="E1096" s="74"/>
      <c r="F1096" s="74"/>
      <c r="G1096" s="164"/>
      <c r="H1096" s="164"/>
      <c r="I1096" s="376"/>
    </row>
    <row r="1097" spans="2:9">
      <c r="C1097" s="97" t="s">
        <v>564</v>
      </c>
      <c r="D1097" s="78" t="s">
        <v>746</v>
      </c>
      <c r="E1097" s="74">
        <v>1</v>
      </c>
      <c r="F1097" s="160"/>
      <c r="G1097" s="164">
        <f>E1097*F1097</f>
        <v>0</v>
      </c>
      <c r="H1097" s="164">
        <f>G1097*I7</f>
        <v>0</v>
      </c>
      <c r="I1097" s="802"/>
    </row>
    <row r="1098" spans="2:9">
      <c r="C1098" s="97" t="s">
        <v>455</v>
      </c>
      <c r="D1098" s="78" t="s">
        <v>746</v>
      </c>
      <c r="E1098" s="74">
        <v>5</v>
      </c>
      <c r="F1098" s="160">
        <v>20</v>
      </c>
      <c r="G1098" s="164">
        <f>E1098*F1098</f>
        <v>100</v>
      </c>
      <c r="H1098" s="164">
        <f>G1098*I7</f>
        <v>8450</v>
      </c>
      <c r="I1098" s="802"/>
    </row>
    <row r="1099" spans="2:9">
      <c r="C1099" s="97" t="s">
        <v>756</v>
      </c>
      <c r="D1099" s="78" t="s">
        <v>757</v>
      </c>
      <c r="E1099" s="74">
        <v>25</v>
      </c>
      <c r="F1099" s="160">
        <v>7</v>
      </c>
      <c r="G1099" s="164">
        <f>E1099*F1099</f>
        <v>175</v>
      </c>
      <c r="H1099" s="164">
        <f>G1099*I7</f>
        <v>14787.5</v>
      </c>
      <c r="I1099" s="802"/>
    </row>
    <row r="1100" spans="2:9">
      <c r="C1100" s="97" t="s">
        <v>565</v>
      </c>
      <c r="D1100" s="78" t="s">
        <v>748</v>
      </c>
      <c r="E1100" s="74">
        <v>25</v>
      </c>
      <c r="F1100" s="160">
        <v>0.625</v>
      </c>
      <c r="G1100" s="164">
        <f>E1100*F1100</f>
        <v>15.625</v>
      </c>
      <c r="H1100" s="164">
        <f>G1100*I7</f>
        <v>1320.3125</v>
      </c>
      <c r="I1100" s="802"/>
    </row>
    <row r="1101" spans="2:9">
      <c r="C1101" s="97" t="s">
        <v>458</v>
      </c>
      <c r="D1101" s="78" t="s">
        <v>748</v>
      </c>
      <c r="E1101" s="74">
        <v>25</v>
      </c>
      <c r="F1101" s="74">
        <v>3</v>
      </c>
      <c r="G1101" s="164">
        <f>E1101*F1101</f>
        <v>75</v>
      </c>
      <c r="H1101" s="164">
        <f>G1101*I7</f>
        <v>6337.5</v>
      </c>
      <c r="I1101" s="802"/>
    </row>
    <row r="1102" spans="2:9" s="79" customFormat="1">
      <c r="C1102" s="75" t="s">
        <v>850</v>
      </c>
      <c r="D1102" s="82"/>
      <c r="E1102" s="82"/>
      <c r="F1102" s="82"/>
      <c r="G1102" s="267">
        <f>SUM(G1097:G1101)</f>
        <v>365.625</v>
      </c>
      <c r="H1102" s="267">
        <f>G1102*I7</f>
        <v>30895.3125</v>
      </c>
      <c r="I1102" s="445"/>
    </row>
    <row r="1103" spans="2:9">
      <c r="C1103" s="66" t="s">
        <v>463</v>
      </c>
      <c r="D1103" s="70"/>
      <c r="E1103" s="112"/>
      <c r="F1103" s="112"/>
      <c r="G1103" s="272">
        <f>(G1102*4)</f>
        <v>1462.5</v>
      </c>
      <c r="H1103" s="272">
        <f>G1103*I7</f>
        <v>123581.25</v>
      </c>
      <c r="I1103" s="376"/>
    </row>
    <row r="1104" spans="2:9">
      <c r="C1104" s="130" t="s">
        <v>586</v>
      </c>
      <c r="D1104" s="113"/>
      <c r="E1104" s="106"/>
      <c r="F1104" s="106"/>
      <c r="G1104" s="277"/>
      <c r="H1104" s="277"/>
      <c r="I1104" s="376"/>
    </row>
    <row r="1105" spans="2:9">
      <c r="C1105" s="97" t="s">
        <v>717</v>
      </c>
      <c r="D1105" s="78" t="s">
        <v>840</v>
      </c>
      <c r="E1105" s="74">
        <v>3</v>
      </c>
      <c r="F1105" s="106"/>
      <c r="G1105" s="277">
        <f>E1105*F1105</f>
        <v>0</v>
      </c>
      <c r="H1105" s="277">
        <f>G1105*I7</f>
        <v>0</v>
      </c>
      <c r="I1105" s="803"/>
    </row>
    <row r="1106" spans="2:9">
      <c r="C1106" s="97" t="s">
        <v>1094</v>
      </c>
      <c r="D1106" s="78" t="s">
        <v>840</v>
      </c>
      <c r="E1106" s="74">
        <v>3</v>
      </c>
      <c r="F1106" s="156">
        <v>41.25</v>
      </c>
      <c r="G1106" s="277">
        <f>E1106*F1106</f>
        <v>123.75</v>
      </c>
      <c r="H1106" s="277">
        <f>G1106*I7</f>
        <v>10456.875</v>
      </c>
      <c r="I1106" s="803"/>
    </row>
    <row r="1107" spans="2:9">
      <c r="C1107" s="141" t="s">
        <v>851</v>
      </c>
      <c r="D1107" s="78"/>
      <c r="E1107" s="74"/>
      <c r="F1107" s="156"/>
      <c r="G1107" s="270">
        <f>SUM(G1105:G1106)</f>
        <v>123.75</v>
      </c>
      <c r="H1107" s="270">
        <f>G1107*I7</f>
        <v>10456.875</v>
      </c>
      <c r="I1107" s="376"/>
    </row>
    <row r="1108" spans="2:9">
      <c r="C1108" s="130" t="s">
        <v>588</v>
      </c>
      <c r="D1108" s="113"/>
      <c r="E1108" s="113"/>
      <c r="F1108" s="113"/>
      <c r="G1108" s="270">
        <f>G1107*4*1.05</f>
        <v>519.75</v>
      </c>
      <c r="H1108" s="270">
        <f>G1108*I7</f>
        <v>43918.875</v>
      </c>
      <c r="I1108" s="376"/>
    </row>
    <row r="1109" spans="2:9" s="79" customFormat="1">
      <c r="C1109" s="216" t="s">
        <v>867</v>
      </c>
      <c r="D1109" s="113"/>
      <c r="E1109" s="113"/>
      <c r="F1109" s="113"/>
      <c r="G1109" s="277"/>
      <c r="H1109" s="277">
        <f>G1109*I7</f>
        <v>0</v>
      </c>
      <c r="I1109" s="445"/>
    </row>
    <row r="1110" spans="2:9" ht="15.75" thickBot="1">
      <c r="C1110" s="139" t="s">
        <v>589</v>
      </c>
      <c r="D1110" s="140"/>
      <c r="E1110" s="140"/>
      <c r="F1110" s="140"/>
      <c r="G1110" s="283">
        <f>G1103+G1108+G1109</f>
        <v>1982.25</v>
      </c>
      <c r="H1110" s="283">
        <f>G1110*I7</f>
        <v>167500.125</v>
      </c>
      <c r="I1110" s="432"/>
    </row>
    <row r="1111" spans="2:9" s="171" customFormat="1" ht="15" customHeight="1" thickBot="1">
      <c r="B1111" s="170"/>
      <c r="C1111" s="710" t="s">
        <v>1051</v>
      </c>
      <c r="D1111" s="711"/>
      <c r="E1111" s="711"/>
      <c r="F1111" s="711"/>
      <c r="G1111" s="711"/>
      <c r="H1111" s="711"/>
      <c r="I1111" s="712"/>
    </row>
    <row r="1112" spans="2:9">
      <c r="C1112" s="107"/>
      <c r="D1112" s="174"/>
      <c r="E1112" s="174"/>
      <c r="F1112" s="174"/>
      <c r="G1112" s="285"/>
      <c r="H1112" s="285"/>
    </row>
    <row r="1113" spans="2:9" ht="26.25" customHeight="1">
      <c r="B1113" s="79" t="e">
        <f>'Costed Impl plan'!#REF!</f>
        <v>#REF!</v>
      </c>
      <c r="C1113" s="777" t="e">
        <f>'Costed Impl plan'!#REF!</f>
        <v>#REF!</v>
      </c>
      <c r="D1113" s="777"/>
      <c r="E1113" s="777"/>
      <c r="F1113" s="777"/>
      <c r="G1113" s="777"/>
      <c r="H1113" s="328"/>
    </row>
    <row r="1114" spans="2:9" ht="15.75" thickBot="1"/>
    <row r="1115" spans="2:9" ht="17.25" customHeight="1">
      <c r="B1115" s="79" t="str">
        <f>'Costed Impl plan'!B141</f>
        <v>3.4.1</v>
      </c>
      <c r="C1115" s="704" t="str">
        <f>'Costed Impl plan'!C141</f>
        <v>Develop / revise HIV / AIDS advocacy strategy</v>
      </c>
      <c r="D1115" s="705"/>
      <c r="E1115" s="705"/>
      <c r="F1115" s="705"/>
      <c r="G1115" s="705"/>
      <c r="H1115" s="705"/>
      <c r="I1115" s="706"/>
    </row>
    <row r="1116" spans="2:9" ht="33.75" customHeight="1">
      <c r="C1116" s="131" t="s">
        <v>452</v>
      </c>
      <c r="D1116" s="113" t="s">
        <v>703</v>
      </c>
      <c r="E1116" s="113" t="s">
        <v>453</v>
      </c>
      <c r="F1116" s="113" t="s">
        <v>935</v>
      </c>
      <c r="G1116" s="270" t="s">
        <v>932</v>
      </c>
      <c r="H1116" s="270" t="s">
        <v>933</v>
      </c>
      <c r="I1116" s="375" t="s">
        <v>651</v>
      </c>
    </row>
    <row r="1117" spans="2:9">
      <c r="C1117" s="77" t="s">
        <v>728</v>
      </c>
      <c r="D1117" s="74"/>
      <c r="E1117" s="74"/>
      <c r="F1117" s="74"/>
      <c r="G1117" s="164"/>
      <c r="H1117" s="164"/>
      <c r="I1117" s="376"/>
    </row>
    <row r="1118" spans="2:9">
      <c r="C1118" s="150" t="s">
        <v>714</v>
      </c>
      <c r="D1118" s="74" t="s">
        <v>706</v>
      </c>
      <c r="E1118" s="74">
        <v>60</v>
      </c>
      <c r="F1118" s="74">
        <v>0</v>
      </c>
      <c r="G1118" s="164">
        <f>E1118*F1118</f>
        <v>0</v>
      </c>
      <c r="H1118" s="164">
        <f>G1118*I7</f>
        <v>0</v>
      </c>
      <c r="I1118" s="376"/>
    </row>
    <row r="1119" spans="2:9">
      <c r="C1119" s="150" t="s">
        <v>707</v>
      </c>
      <c r="D1119" s="74" t="s">
        <v>708</v>
      </c>
      <c r="E1119" s="74">
        <v>5</v>
      </c>
      <c r="F1119" s="74">
        <f>1500/80</f>
        <v>18.75</v>
      </c>
      <c r="G1119" s="164">
        <f>E1119*F1119</f>
        <v>93.75</v>
      </c>
      <c r="H1119" s="164">
        <f>G1119*I7</f>
        <v>7921.875</v>
      </c>
      <c r="I1119" s="376"/>
    </row>
    <row r="1120" spans="2:9" s="79" customFormat="1">
      <c r="C1120" s="75" t="s">
        <v>715</v>
      </c>
      <c r="D1120" s="82"/>
      <c r="E1120" s="82"/>
      <c r="F1120" s="82"/>
      <c r="G1120" s="267">
        <f>SUM(G1118:G1119)</f>
        <v>93.75</v>
      </c>
      <c r="H1120" s="267">
        <f>G1120*I7</f>
        <v>7921.875</v>
      </c>
      <c r="I1120" s="445"/>
    </row>
    <row r="1121" spans="2:9" s="79" customFormat="1" ht="30">
      <c r="C1121" s="151" t="s">
        <v>498</v>
      </c>
      <c r="D1121" s="74" t="s">
        <v>862</v>
      </c>
      <c r="E1121" s="74">
        <v>200</v>
      </c>
      <c r="F1121" s="160">
        <v>25</v>
      </c>
      <c r="G1121" s="267">
        <f>E1121*F1121</f>
        <v>5000</v>
      </c>
      <c r="H1121" s="267">
        <f>G1121*I7</f>
        <v>422500</v>
      </c>
      <c r="I1121" s="441" t="s">
        <v>785</v>
      </c>
    </row>
    <row r="1122" spans="2:9">
      <c r="C1122" s="216" t="s">
        <v>867</v>
      </c>
      <c r="D1122" s="74"/>
      <c r="E1122" s="74"/>
      <c r="F1122" s="74"/>
      <c r="G1122" s="267">
        <f>(G1120+G1121)*25%</f>
        <v>1273.4375</v>
      </c>
      <c r="H1122" s="267">
        <f>G1122*I7</f>
        <v>107605.46875</v>
      </c>
      <c r="I1122" s="376"/>
    </row>
    <row r="1123" spans="2:9">
      <c r="C1123" s="76" t="s">
        <v>894</v>
      </c>
      <c r="D1123" s="94"/>
      <c r="E1123" s="132"/>
      <c r="F1123" s="132"/>
      <c r="G1123" s="273">
        <f>(G1120+G1121+G1122)*1.05</f>
        <v>6685.546875</v>
      </c>
      <c r="H1123" s="273">
        <f>G1123*I7</f>
        <v>564928.7109375</v>
      </c>
      <c r="I1123" s="376"/>
    </row>
    <row r="1124" spans="2:9" ht="24.75" customHeight="1" thickBot="1">
      <c r="C1124" s="710" t="s">
        <v>1095</v>
      </c>
      <c r="D1124" s="711"/>
      <c r="E1124" s="711"/>
      <c r="F1124" s="711"/>
      <c r="G1124" s="711"/>
      <c r="H1124" s="711"/>
      <c r="I1124" s="712"/>
    </row>
    <row r="1125" spans="2:9">
      <c r="C1125" s="79"/>
      <c r="D1125" s="95"/>
      <c r="E1125" s="95"/>
      <c r="F1125" s="95"/>
      <c r="G1125" s="228"/>
      <c r="H1125" s="228"/>
    </row>
    <row r="1126" spans="2:9" ht="15.75" thickBot="1">
      <c r="C1126" s="79"/>
      <c r="D1126" s="95"/>
      <c r="E1126" s="95"/>
      <c r="F1126" s="95"/>
      <c r="G1126" s="228"/>
      <c r="H1126" s="228"/>
    </row>
    <row r="1127" spans="2:9" ht="19.5" customHeight="1">
      <c r="B1127" s="79" t="str">
        <f>'Costed Impl plan'!B142</f>
        <v>3.4.2</v>
      </c>
      <c r="C1127" s="704" t="str">
        <f>'Costed Impl plan'!C142</f>
        <v>Develop advocacy materials (packages)</v>
      </c>
      <c r="D1127" s="705"/>
      <c r="E1127" s="705"/>
      <c r="F1127" s="705"/>
      <c r="G1127" s="705"/>
      <c r="H1127" s="705"/>
      <c r="I1127" s="706"/>
    </row>
    <row r="1128" spans="2:9" ht="30.75" customHeight="1">
      <c r="C1128" s="131" t="s">
        <v>452</v>
      </c>
      <c r="D1128" s="113" t="s">
        <v>703</v>
      </c>
      <c r="E1128" s="113" t="s">
        <v>453</v>
      </c>
      <c r="F1128" s="113" t="s">
        <v>935</v>
      </c>
      <c r="G1128" s="270" t="s">
        <v>932</v>
      </c>
      <c r="H1128" s="270" t="s">
        <v>933</v>
      </c>
      <c r="I1128" s="375" t="s">
        <v>651</v>
      </c>
    </row>
    <row r="1129" spans="2:9">
      <c r="C1129" s="72" t="s">
        <v>590</v>
      </c>
      <c r="D1129" s="74"/>
      <c r="E1129" s="74">
        <v>5</v>
      </c>
      <c r="F1129" s="175">
        <v>0.4375</v>
      </c>
      <c r="G1129" s="164">
        <f>E1129*F1129</f>
        <v>2.1875</v>
      </c>
      <c r="H1129" s="164">
        <f>G1129*I7</f>
        <v>184.84375</v>
      </c>
      <c r="I1129" s="376"/>
    </row>
    <row r="1130" spans="2:9">
      <c r="C1130" s="72" t="s">
        <v>413</v>
      </c>
      <c r="D1130" s="74"/>
      <c r="E1130" s="74">
        <v>5</v>
      </c>
      <c r="F1130" s="175">
        <v>0.1875</v>
      </c>
      <c r="G1130" s="164">
        <f>E1130*F1130</f>
        <v>0.9375</v>
      </c>
      <c r="H1130" s="164">
        <f>G1130*I7</f>
        <v>79.21875</v>
      </c>
      <c r="I1130" s="376"/>
    </row>
    <row r="1131" spans="2:9">
      <c r="C1131" s="72" t="s">
        <v>591</v>
      </c>
      <c r="D1131" s="74"/>
      <c r="E1131" s="74">
        <v>10</v>
      </c>
      <c r="F1131" s="175">
        <v>6.25E-2</v>
      </c>
      <c r="G1131" s="164">
        <f>E1131*F1131</f>
        <v>0.625</v>
      </c>
      <c r="H1131" s="164">
        <f>G1131*I7</f>
        <v>52.8125</v>
      </c>
      <c r="I1131" s="376"/>
    </row>
    <row r="1132" spans="2:9">
      <c r="C1132" s="72" t="s">
        <v>592</v>
      </c>
      <c r="D1132" s="74"/>
      <c r="E1132" s="74">
        <v>5</v>
      </c>
      <c r="F1132" s="175">
        <v>1.5625</v>
      </c>
      <c r="G1132" s="164">
        <f>E1132*F1132</f>
        <v>7.8125</v>
      </c>
      <c r="H1132" s="164">
        <f>G1132*I7</f>
        <v>660.15625</v>
      </c>
      <c r="I1132" s="376"/>
    </row>
    <row r="1133" spans="2:9" s="80" customFormat="1">
      <c r="C1133" s="216" t="s">
        <v>867</v>
      </c>
      <c r="D1133" s="82"/>
      <c r="E1133" s="82"/>
      <c r="F1133" s="82"/>
      <c r="G1133" s="164">
        <f>SUM(G1129:G1132)*25%</f>
        <v>2.890625</v>
      </c>
      <c r="H1133" s="164">
        <f>G1133*I7</f>
        <v>244.2578125</v>
      </c>
      <c r="I1133" s="463"/>
    </row>
    <row r="1134" spans="2:9">
      <c r="C1134" s="219" t="s">
        <v>593</v>
      </c>
      <c r="D1134" s="220"/>
      <c r="E1134" s="220"/>
      <c r="F1134" s="220"/>
      <c r="G1134" s="240">
        <f>SUM(G1129:G1133)*1.05</f>
        <v>15.17578125</v>
      </c>
      <c r="H1134" s="240">
        <f>G1134*I7</f>
        <v>1282.353515625</v>
      </c>
      <c r="I1134" s="376"/>
    </row>
    <row r="1135" spans="2:9" ht="21" customHeight="1" thickBot="1">
      <c r="C1135" s="710" t="s">
        <v>1095</v>
      </c>
      <c r="D1135" s="711"/>
      <c r="E1135" s="711"/>
      <c r="F1135" s="711"/>
      <c r="G1135" s="711"/>
      <c r="H1135" s="711"/>
      <c r="I1135" s="712"/>
    </row>
    <row r="1137" spans="2:9" ht="15.75" thickBot="1"/>
    <row r="1138" spans="2:9" ht="21" customHeight="1">
      <c r="B1138" s="79" t="str">
        <f>'Costed Impl plan'!B143</f>
        <v>3.4.3</v>
      </c>
      <c r="C1138" s="704" t="str">
        <f>'Costed Impl plan'!C143</f>
        <v>Conduct national level advocacy</v>
      </c>
      <c r="D1138" s="705"/>
      <c r="E1138" s="705"/>
      <c r="F1138" s="705"/>
      <c r="G1138" s="705"/>
      <c r="H1138" s="713"/>
      <c r="I1138" s="706"/>
    </row>
    <row r="1139" spans="2:9" ht="21" customHeight="1">
      <c r="C1139" s="799" t="s">
        <v>922</v>
      </c>
      <c r="D1139" s="800"/>
      <c r="E1139" s="800"/>
      <c r="F1139" s="800"/>
      <c r="G1139" s="801"/>
      <c r="H1139" s="325"/>
      <c r="I1139" s="376"/>
    </row>
    <row r="1140" spans="2:9" ht="36" customHeight="1">
      <c r="C1140" s="131" t="s">
        <v>452</v>
      </c>
      <c r="D1140" s="113" t="s">
        <v>703</v>
      </c>
      <c r="E1140" s="113" t="s">
        <v>453</v>
      </c>
      <c r="F1140" s="113" t="s">
        <v>935</v>
      </c>
      <c r="G1140" s="270" t="s">
        <v>932</v>
      </c>
      <c r="H1140" s="270" t="s">
        <v>933</v>
      </c>
      <c r="I1140" s="375" t="s">
        <v>651</v>
      </c>
    </row>
    <row r="1141" spans="2:9">
      <c r="C1141" s="72" t="s">
        <v>454</v>
      </c>
      <c r="D1141" s="74" t="s">
        <v>704</v>
      </c>
      <c r="E1141" s="106">
        <v>1</v>
      </c>
      <c r="F1141" s="156">
        <v>3.6175781250000001</v>
      </c>
      <c r="G1141" s="296">
        <f>E1141*F1141</f>
        <v>3.6175781250000001</v>
      </c>
      <c r="H1141" s="300">
        <f>G1141*I7</f>
        <v>305.68535156249999</v>
      </c>
      <c r="I1141" s="376"/>
    </row>
    <row r="1142" spans="2:9">
      <c r="C1142" s="72" t="s">
        <v>565</v>
      </c>
      <c r="D1142" s="74" t="s">
        <v>704</v>
      </c>
      <c r="E1142" s="106">
        <v>1</v>
      </c>
      <c r="F1142" s="156">
        <v>15</v>
      </c>
      <c r="G1142" s="296">
        <f>E1142*F1142</f>
        <v>15</v>
      </c>
      <c r="H1142" s="300">
        <f>G1142*I7</f>
        <v>1267.5</v>
      </c>
      <c r="I1142" s="376"/>
    </row>
    <row r="1143" spans="2:9">
      <c r="C1143" s="72" t="s">
        <v>457</v>
      </c>
      <c r="D1143" s="74" t="s">
        <v>704</v>
      </c>
      <c r="E1143" s="106">
        <v>1</v>
      </c>
      <c r="F1143" s="156">
        <v>10</v>
      </c>
      <c r="G1143" s="296">
        <f>E1143*F1143</f>
        <v>10</v>
      </c>
      <c r="H1143" s="300">
        <f>G1143*I7</f>
        <v>845</v>
      </c>
      <c r="I1143" s="376"/>
    </row>
    <row r="1144" spans="2:9">
      <c r="C1144" s="72" t="s">
        <v>458</v>
      </c>
      <c r="D1144" s="74" t="s">
        <v>704</v>
      </c>
      <c r="E1144" s="106">
        <v>1</v>
      </c>
      <c r="F1144" s="156">
        <v>21.705468750000001</v>
      </c>
      <c r="G1144" s="296">
        <f>E1144*F1144</f>
        <v>21.705468750000001</v>
      </c>
      <c r="H1144" s="300">
        <f>G1144*I7</f>
        <v>1834.112109375</v>
      </c>
      <c r="I1144" s="376"/>
    </row>
    <row r="1145" spans="2:9">
      <c r="C1145" s="72" t="s">
        <v>459</v>
      </c>
      <c r="D1145" s="74" t="s">
        <v>704</v>
      </c>
      <c r="E1145" s="106">
        <v>1</v>
      </c>
      <c r="F1145" s="156">
        <v>2.8940625</v>
      </c>
      <c r="G1145" s="296">
        <f>E1145*F1145</f>
        <v>2.8940625</v>
      </c>
      <c r="H1145" s="300">
        <f>G1145*I7</f>
        <v>244.54828125</v>
      </c>
      <c r="I1145" s="376"/>
    </row>
    <row r="1146" spans="2:9" s="79" customFormat="1">
      <c r="C1146" s="216" t="s">
        <v>867</v>
      </c>
      <c r="D1146" s="82"/>
      <c r="E1146" s="82"/>
      <c r="F1146" s="82"/>
      <c r="G1146" s="296">
        <f>SUM(G1141:G1145)*25%</f>
        <v>13.30427734375</v>
      </c>
      <c r="H1146" s="300">
        <f>G1146*I7</f>
        <v>1124.211435546875</v>
      </c>
      <c r="I1146" s="445"/>
    </row>
    <row r="1147" spans="2:9">
      <c r="C1147" s="130" t="s">
        <v>594</v>
      </c>
      <c r="D1147" s="113"/>
      <c r="E1147" s="113"/>
      <c r="F1147" s="113"/>
      <c r="G1147" s="270">
        <f>SUM(G1141:G1146)*1.05</f>
        <v>69.847456054687498</v>
      </c>
      <c r="H1147" s="302">
        <f>G1147*I7</f>
        <v>5902.110036621094</v>
      </c>
      <c r="I1147" s="376"/>
    </row>
    <row r="1148" spans="2:9" ht="21" customHeight="1" thickBot="1">
      <c r="C1148" s="710" t="s">
        <v>1095</v>
      </c>
      <c r="D1148" s="711"/>
      <c r="E1148" s="711"/>
      <c r="F1148" s="711"/>
      <c r="G1148" s="711"/>
      <c r="H1148" s="711"/>
      <c r="I1148" s="712"/>
    </row>
    <row r="1149" spans="2:9">
      <c r="C1149" s="107"/>
      <c r="D1149" s="174"/>
      <c r="E1149" s="174"/>
      <c r="F1149" s="174"/>
      <c r="G1149" s="285"/>
      <c r="H1149" s="285"/>
    </row>
    <row r="1150" spans="2:9" ht="15.75" thickBot="1">
      <c r="C1150" s="107"/>
      <c r="D1150" s="174"/>
      <c r="E1150" s="174"/>
      <c r="F1150" s="174"/>
      <c r="G1150" s="285"/>
      <c r="H1150" s="285"/>
    </row>
    <row r="1151" spans="2:9" ht="18" customHeight="1">
      <c r="B1151" s="79" t="str">
        <f>'Costed Impl plan'!B144</f>
        <v>3.4.4</v>
      </c>
      <c r="C1151" s="704" t="str">
        <f>'Costed Impl plan'!C144</f>
        <v>Conduct regional/ divisional/ district level advocacy</v>
      </c>
      <c r="D1151" s="705"/>
      <c r="E1151" s="705"/>
      <c r="F1151" s="705"/>
      <c r="G1151" s="705"/>
      <c r="H1151" s="713"/>
      <c r="I1151" s="706"/>
    </row>
    <row r="1152" spans="2:9">
      <c r="C1152" s="728" t="s">
        <v>595</v>
      </c>
      <c r="D1152" s="729"/>
      <c r="E1152" s="729"/>
      <c r="F1152" s="729"/>
      <c r="G1152" s="729"/>
      <c r="H1152" s="324"/>
      <c r="I1152" s="376"/>
    </row>
    <row r="1153" spans="2:9" ht="33.75" customHeight="1">
      <c r="C1153" s="131" t="s">
        <v>452</v>
      </c>
      <c r="D1153" s="113" t="s">
        <v>703</v>
      </c>
      <c r="E1153" s="113" t="s">
        <v>453</v>
      </c>
      <c r="F1153" s="113" t="s">
        <v>935</v>
      </c>
      <c r="G1153" s="270" t="s">
        <v>932</v>
      </c>
      <c r="H1153" s="270" t="s">
        <v>933</v>
      </c>
      <c r="I1153" s="375" t="s">
        <v>651</v>
      </c>
    </row>
    <row r="1154" spans="2:9">
      <c r="C1154" s="72" t="s">
        <v>454</v>
      </c>
      <c r="D1154" s="73" t="s">
        <v>704</v>
      </c>
      <c r="E1154" s="74">
        <v>1</v>
      </c>
      <c r="F1154" s="160">
        <v>0</v>
      </c>
      <c r="G1154" s="296">
        <f t="shared" ref="G1154:G1159" si="24">E1154*F1154</f>
        <v>0</v>
      </c>
      <c r="H1154" s="300">
        <f>G1154*I7</f>
        <v>0</v>
      </c>
      <c r="I1154" s="376"/>
    </row>
    <row r="1155" spans="2:9">
      <c r="C1155" s="72" t="s">
        <v>455</v>
      </c>
      <c r="D1155" s="73" t="s">
        <v>704</v>
      </c>
      <c r="E1155" s="74">
        <v>1</v>
      </c>
      <c r="F1155" s="160">
        <v>7.2351562500000002</v>
      </c>
      <c r="G1155" s="296">
        <f t="shared" si="24"/>
        <v>7.2351562500000002</v>
      </c>
      <c r="H1155" s="300">
        <f>G1155*I7</f>
        <v>611.37070312499998</v>
      </c>
      <c r="I1155" s="376"/>
    </row>
    <row r="1156" spans="2:9">
      <c r="C1156" s="72" t="s">
        <v>456</v>
      </c>
      <c r="D1156" s="73" t="s">
        <v>704</v>
      </c>
      <c r="E1156" s="74">
        <v>1</v>
      </c>
      <c r="F1156" s="160">
        <v>1.44703125</v>
      </c>
      <c r="G1156" s="296">
        <f t="shared" si="24"/>
        <v>1.44703125</v>
      </c>
      <c r="H1156" s="300">
        <f>G1156*I7</f>
        <v>122.274140625</v>
      </c>
      <c r="I1156" s="376"/>
    </row>
    <row r="1157" spans="2:9">
      <c r="C1157" s="72" t="s">
        <v>457</v>
      </c>
      <c r="D1157" s="73" t="s">
        <v>704</v>
      </c>
      <c r="E1157" s="74">
        <v>1</v>
      </c>
      <c r="F1157" s="160">
        <v>0.723515625</v>
      </c>
      <c r="G1157" s="296">
        <f t="shared" si="24"/>
        <v>0.723515625</v>
      </c>
      <c r="H1157" s="300">
        <f>G1157*I7</f>
        <v>61.137070312500001</v>
      </c>
      <c r="I1157" s="376"/>
    </row>
    <row r="1158" spans="2:9">
      <c r="C1158" s="72" t="s">
        <v>458</v>
      </c>
      <c r="D1158" s="73" t="s">
        <v>704</v>
      </c>
      <c r="E1158" s="74">
        <v>1</v>
      </c>
      <c r="F1158" s="160">
        <v>3.6175781250000001</v>
      </c>
      <c r="G1158" s="296">
        <f t="shared" si="24"/>
        <v>3.6175781250000001</v>
      </c>
      <c r="H1158" s="300">
        <f>G1158*I7</f>
        <v>305.68535156249999</v>
      </c>
      <c r="I1158" s="376"/>
    </row>
    <row r="1159" spans="2:9">
      <c r="C1159" s="72" t="s">
        <v>459</v>
      </c>
      <c r="D1159" s="73" t="s">
        <v>704</v>
      </c>
      <c r="E1159" s="74">
        <v>1</v>
      </c>
      <c r="F1159" s="160">
        <v>0.723515625</v>
      </c>
      <c r="G1159" s="296">
        <f t="shared" si="24"/>
        <v>0.723515625</v>
      </c>
      <c r="H1159" s="300">
        <f>G1159*I7</f>
        <v>61.137070312500001</v>
      </c>
      <c r="I1159" s="376"/>
    </row>
    <row r="1160" spans="2:9" s="80" customFormat="1">
      <c r="C1160" s="216" t="s">
        <v>867</v>
      </c>
      <c r="D1160" s="82"/>
      <c r="E1160" s="82"/>
      <c r="F1160" s="241"/>
      <c r="G1160" s="296">
        <f>SUM(G1154:G1159)*25%</f>
        <v>3.4366992187499994</v>
      </c>
      <c r="H1160" s="300">
        <f>G1160*I7</f>
        <v>290.40108398437496</v>
      </c>
      <c r="I1160" s="463"/>
    </row>
    <row r="1161" spans="2:9">
      <c r="C1161" s="130" t="s">
        <v>594</v>
      </c>
      <c r="D1161" s="113"/>
      <c r="E1161" s="113"/>
      <c r="F1161" s="113"/>
      <c r="G1161" s="270">
        <f>SUM(G1154:G1160)*1.05</f>
        <v>18.0426708984375</v>
      </c>
      <c r="H1161" s="302">
        <f>G1161*I7</f>
        <v>1524.6056909179688</v>
      </c>
      <c r="I1161" s="376"/>
    </row>
    <row r="1162" spans="2:9" ht="15" customHeight="1" thickBot="1">
      <c r="C1162" s="710" t="s">
        <v>1095</v>
      </c>
      <c r="D1162" s="711"/>
      <c r="E1162" s="711"/>
      <c r="F1162" s="711"/>
      <c r="G1162" s="711"/>
      <c r="H1162" s="711"/>
      <c r="I1162" s="712"/>
    </row>
    <row r="1164" spans="2:9" ht="15.75" thickBot="1"/>
    <row r="1165" spans="2:9" ht="22.5" customHeight="1">
      <c r="B1165" s="79" t="str">
        <f>'Costed Impl plan'!B145</f>
        <v>3.4.5</v>
      </c>
      <c r="C1165" s="704" t="str">
        <f>'Costed Impl plan'!C145</f>
        <v xml:space="preserve">Conduct local level advocacy </v>
      </c>
      <c r="D1165" s="705"/>
      <c r="E1165" s="705"/>
      <c r="F1165" s="705"/>
      <c r="G1165" s="705"/>
      <c r="H1165" s="713"/>
      <c r="I1165" s="706"/>
    </row>
    <row r="1166" spans="2:9" ht="21" customHeight="1">
      <c r="C1166" s="799" t="s">
        <v>948</v>
      </c>
      <c r="D1166" s="800"/>
      <c r="E1166" s="800"/>
      <c r="F1166" s="800"/>
      <c r="G1166" s="801"/>
      <c r="H1166" s="325"/>
      <c r="I1166" s="376"/>
    </row>
    <row r="1167" spans="2:9" ht="33.75" customHeight="1">
      <c r="C1167" s="131" t="s">
        <v>452</v>
      </c>
      <c r="D1167" s="113" t="s">
        <v>703</v>
      </c>
      <c r="E1167" s="113" t="s">
        <v>453</v>
      </c>
      <c r="F1167" s="113" t="s">
        <v>935</v>
      </c>
      <c r="G1167" s="270" t="s">
        <v>932</v>
      </c>
      <c r="H1167" s="270" t="s">
        <v>933</v>
      </c>
      <c r="I1167" s="375" t="s">
        <v>651</v>
      </c>
    </row>
    <row r="1168" spans="2:9">
      <c r="C1168" s="72" t="s">
        <v>666</v>
      </c>
      <c r="D1168" s="73" t="s">
        <v>788</v>
      </c>
      <c r="E1168" s="74">
        <v>1</v>
      </c>
      <c r="F1168" s="160">
        <v>1.25</v>
      </c>
      <c r="G1168" s="296">
        <f>E1168*F1168</f>
        <v>1.25</v>
      </c>
      <c r="H1168" s="331">
        <f>G1168*I7</f>
        <v>105.625</v>
      </c>
      <c r="I1168" s="376"/>
    </row>
    <row r="1169" spans="2:9">
      <c r="C1169" s="72" t="s">
        <v>416</v>
      </c>
      <c r="D1169" s="73" t="s">
        <v>788</v>
      </c>
      <c r="E1169" s="74">
        <v>1</v>
      </c>
      <c r="F1169" s="160">
        <v>2.5</v>
      </c>
      <c r="G1169" s="296">
        <f>E1169*F1169</f>
        <v>2.5</v>
      </c>
      <c r="H1169" s="300">
        <f>G1169*I7</f>
        <v>211.25</v>
      </c>
      <c r="I1169" s="376"/>
    </row>
    <row r="1170" spans="2:9">
      <c r="C1170" s="72" t="s">
        <v>786</v>
      </c>
      <c r="D1170" s="73" t="s">
        <v>789</v>
      </c>
      <c r="E1170" s="74">
        <v>1</v>
      </c>
      <c r="F1170" s="160">
        <v>0.9375</v>
      </c>
      <c r="G1170" s="296">
        <f>E1170*F1170</f>
        <v>0.9375</v>
      </c>
      <c r="H1170" s="300">
        <f>G1170*I7</f>
        <v>79.21875</v>
      </c>
      <c r="I1170" s="376"/>
    </row>
    <row r="1171" spans="2:9">
      <c r="C1171" s="165" t="s">
        <v>787</v>
      </c>
      <c r="D1171" s="73" t="s">
        <v>788</v>
      </c>
      <c r="E1171" s="74">
        <v>1</v>
      </c>
      <c r="F1171" s="160">
        <v>0.9375</v>
      </c>
      <c r="G1171" s="296">
        <f>E1171*F1171</f>
        <v>0.9375</v>
      </c>
      <c r="H1171" s="300">
        <f>G1171*I7</f>
        <v>79.21875</v>
      </c>
      <c r="I1171" s="376"/>
    </row>
    <row r="1172" spans="2:9" s="79" customFormat="1">
      <c r="C1172" s="216" t="s">
        <v>867</v>
      </c>
      <c r="D1172" s="82"/>
      <c r="E1172" s="82"/>
      <c r="F1172" s="241"/>
      <c r="G1172" s="296">
        <f>E1172*F1172</f>
        <v>0</v>
      </c>
      <c r="H1172" s="300">
        <f>G1172*I7</f>
        <v>0</v>
      </c>
      <c r="I1172" s="445"/>
    </row>
    <row r="1173" spans="2:9">
      <c r="C1173" s="130" t="s">
        <v>594</v>
      </c>
      <c r="D1173" s="113"/>
      <c r="E1173" s="113"/>
      <c r="F1173" s="113"/>
      <c r="G1173" s="298">
        <f>SUM(G1168:G1172)*1.05</f>
        <v>5.90625</v>
      </c>
      <c r="H1173" s="302">
        <f>G1173*I7</f>
        <v>499.078125</v>
      </c>
      <c r="I1173" s="376"/>
    </row>
    <row r="1174" spans="2:9" ht="15" customHeight="1" thickBot="1">
      <c r="C1174" s="710" t="s">
        <v>1095</v>
      </c>
      <c r="D1174" s="711"/>
      <c r="E1174" s="711"/>
      <c r="F1174" s="711"/>
      <c r="G1174" s="711"/>
      <c r="H1174" s="711"/>
      <c r="I1174" s="712"/>
    </row>
    <row r="1176" spans="2:9" ht="15.75" thickBot="1"/>
    <row r="1177" spans="2:9" ht="15" customHeight="1">
      <c r="B1177" s="79" t="str">
        <f>'Costed Impl plan'!B146</f>
        <v>3.4.6</v>
      </c>
      <c r="C1177" s="704" t="str">
        <f>'Costed Impl plan'!C146</f>
        <v>Celebration of World AIDS Day</v>
      </c>
      <c r="D1177" s="705"/>
      <c r="E1177" s="705"/>
      <c r="F1177" s="705"/>
      <c r="G1177" s="705"/>
      <c r="H1177" s="713"/>
      <c r="I1177" s="706"/>
    </row>
    <row r="1178" spans="2:9" ht="35.25" customHeight="1">
      <c r="C1178" s="131" t="s">
        <v>452</v>
      </c>
      <c r="D1178" s="113" t="s">
        <v>703</v>
      </c>
      <c r="E1178" s="113" t="s">
        <v>453</v>
      </c>
      <c r="F1178" s="113" t="s">
        <v>935</v>
      </c>
      <c r="G1178" s="270" t="s">
        <v>932</v>
      </c>
      <c r="H1178" s="270" t="s">
        <v>933</v>
      </c>
      <c r="I1178" s="375" t="s">
        <v>651</v>
      </c>
    </row>
    <row r="1179" spans="2:9" ht="20.25" customHeight="1">
      <c r="C1179" s="77" t="s">
        <v>790</v>
      </c>
      <c r="D1179" s="74"/>
      <c r="E1179" s="74"/>
      <c r="F1179" s="106"/>
      <c r="G1179" s="277"/>
      <c r="H1179" s="310"/>
      <c r="I1179" s="376"/>
    </row>
    <row r="1180" spans="2:9" ht="20.100000000000001" customHeight="1">
      <c r="C1180" s="150" t="s">
        <v>597</v>
      </c>
      <c r="D1180" s="74"/>
      <c r="E1180" s="74">
        <v>1000</v>
      </c>
      <c r="F1180" s="106">
        <v>1.875</v>
      </c>
      <c r="G1180" s="277">
        <f>E1180*F1180</f>
        <v>1875</v>
      </c>
      <c r="H1180" s="310">
        <f>G1180*I7</f>
        <v>158437.5</v>
      </c>
      <c r="I1180" s="376"/>
    </row>
    <row r="1181" spans="2:9" ht="20.100000000000001" customHeight="1">
      <c r="C1181" s="150" t="s">
        <v>791</v>
      </c>
      <c r="D1181" s="74"/>
      <c r="E1181" s="74">
        <v>1000</v>
      </c>
      <c r="F1181" s="106">
        <v>1.875</v>
      </c>
      <c r="G1181" s="277">
        <f t="shared" ref="G1181:G1191" si="25">E1181*F1181</f>
        <v>1875</v>
      </c>
      <c r="H1181" s="321">
        <f>G1181*I7</f>
        <v>158437.5</v>
      </c>
      <c r="I1181" s="376"/>
    </row>
    <row r="1182" spans="2:9" ht="20.100000000000001" customHeight="1">
      <c r="C1182" s="150" t="s">
        <v>792</v>
      </c>
      <c r="D1182" s="74"/>
      <c r="E1182" s="74">
        <v>20</v>
      </c>
      <c r="F1182" s="106">
        <v>62.5</v>
      </c>
      <c r="G1182" s="277">
        <f t="shared" si="25"/>
        <v>1250</v>
      </c>
      <c r="H1182" s="321">
        <f>G1182*I7</f>
        <v>105625</v>
      </c>
      <c r="I1182" s="376"/>
    </row>
    <row r="1183" spans="2:9" ht="20.100000000000001" customHeight="1">
      <c r="C1183" s="150" t="s">
        <v>793</v>
      </c>
      <c r="D1183" s="74"/>
      <c r="E1183" s="74">
        <v>500</v>
      </c>
      <c r="F1183" s="106">
        <v>25</v>
      </c>
      <c r="G1183" s="277">
        <f t="shared" si="25"/>
        <v>12500</v>
      </c>
      <c r="H1183" s="321">
        <f>G1183*I7</f>
        <v>1056250</v>
      </c>
      <c r="I1183" s="376"/>
    </row>
    <row r="1184" spans="2:9" ht="20.100000000000001" customHeight="1">
      <c r="C1184" s="150" t="s">
        <v>598</v>
      </c>
      <c r="D1184" s="74"/>
      <c r="E1184" s="74">
        <v>100</v>
      </c>
      <c r="F1184" s="106">
        <v>6.25</v>
      </c>
      <c r="G1184" s="277">
        <f t="shared" si="25"/>
        <v>625</v>
      </c>
      <c r="H1184" s="321">
        <f>G1184*I7</f>
        <v>52812.5</v>
      </c>
      <c r="I1184" s="376"/>
    </row>
    <row r="1185" spans="3:9" ht="20.100000000000001" customHeight="1">
      <c r="C1185" s="150" t="s">
        <v>794</v>
      </c>
      <c r="D1185" s="74"/>
      <c r="E1185" s="74">
        <v>15</v>
      </c>
      <c r="F1185" s="106">
        <v>43.75</v>
      </c>
      <c r="G1185" s="277">
        <f t="shared" si="25"/>
        <v>656.25</v>
      </c>
      <c r="H1185" s="321">
        <f>G1185*I7</f>
        <v>55453.125</v>
      </c>
      <c r="I1185" s="376"/>
    </row>
    <row r="1186" spans="3:9" ht="20.100000000000001" customHeight="1">
      <c r="C1186" s="150" t="s">
        <v>795</v>
      </c>
      <c r="D1186" s="74"/>
      <c r="E1186" s="74">
        <v>20</v>
      </c>
      <c r="F1186" s="106">
        <v>56.25</v>
      </c>
      <c r="G1186" s="277">
        <f t="shared" si="25"/>
        <v>1125</v>
      </c>
      <c r="H1186" s="321">
        <f>G1186*I7</f>
        <v>95062.5</v>
      </c>
      <c r="I1186" s="376"/>
    </row>
    <row r="1187" spans="3:9" ht="20.100000000000001" customHeight="1">
      <c r="C1187" s="150" t="s">
        <v>796</v>
      </c>
      <c r="D1187" s="74"/>
      <c r="E1187" s="74">
        <v>500</v>
      </c>
      <c r="F1187" s="106">
        <v>1.25</v>
      </c>
      <c r="G1187" s="277">
        <f t="shared" si="25"/>
        <v>625</v>
      </c>
      <c r="H1187" s="321">
        <f>G1187*I7</f>
        <v>52812.5</v>
      </c>
      <c r="I1187" s="376"/>
    </row>
    <row r="1188" spans="3:9" ht="20.100000000000001" customHeight="1">
      <c r="C1188" s="150" t="s">
        <v>797</v>
      </c>
      <c r="D1188" s="74"/>
      <c r="E1188" s="74">
        <f>3*30</f>
        <v>90</v>
      </c>
      <c r="F1188" s="106">
        <v>18.75</v>
      </c>
      <c r="G1188" s="277">
        <f t="shared" si="25"/>
        <v>1687.5</v>
      </c>
      <c r="H1188" s="321">
        <f>G1188*I7</f>
        <v>142593.75</v>
      </c>
      <c r="I1188" s="376"/>
    </row>
    <row r="1189" spans="3:9" ht="20.100000000000001" customHeight="1">
      <c r="C1189" s="150" t="s">
        <v>798</v>
      </c>
      <c r="D1189" s="74"/>
      <c r="E1189" s="74">
        <v>5</v>
      </c>
      <c r="F1189" s="106">
        <v>12.5</v>
      </c>
      <c r="G1189" s="277">
        <f t="shared" si="25"/>
        <v>62.5</v>
      </c>
      <c r="H1189" s="321">
        <f>G1189*I7</f>
        <v>5281.25</v>
      </c>
      <c r="I1189" s="376"/>
    </row>
    <row r="1190" spans="3:9" ht="20.100000000000001" customHeight="1">
      <c r="C1190" s="150" t="s">
        <v>799</v>
      </c>
      <c r="D1190" s="74"/>
      <c r="E1190" s="74">
        <v>1000</v>
      </c>
      <c r="F1190" s="106">
        <v>1.875</v>
      </c>
      <c r="G1190" s="277">
        <f t="shared" si="25"/>
        <v>1875</v>
      </c>
      <c r="H1190" s="321">
        <f>G1190*I7</f>
        <v>158437.5</v>
      </c>
      <c r="I1190" s="376"/>
    </row>
    <row r="1191" spans="3:9" ht="20.100000000000001" customHeight="1">
      <c r="C1191" s="150" t="s">
        <v>800</v>
      </c>
      <c r="D1191" s="74"/>
      <c r="E1191" s="74">
        <v>10</v>
      </c>
      <c r="F1191" s="106">
        <v>37.5</v>
      </c>
      <c r="G1191" s="277">
        <f t="shared" si="25"/>
        <v>375</v>
      </c>
      <c r="H1191" s="321">
        <f>G1191*I7</f>
        <v>31687.5</v>
      </c>
      <c r="I1191" s="376"/>
    </row>
    <row r="1192" spans="3:9" s="79" customFormat="1" ht="20.100000000000001" customHeight="1">
      <c r="C1192" s="75" t="s">
        <v>803</v>
      </c>
      <c r="D1192" s="82"/>
      <c r="E1192" s="82"/>
      <c r="F1192" s="113"/>
      <c r="G1192" s="270">
        <f>SUM(G1180:G1191)</f>
        <v>24531.25</v>
      </c>
      <c r="H1192" s="320">
        <f>G1192*I7</f>
        <v>2072890.625</v>
      </c>
      <c r="I1192" s="445"/>
    </row>
    <row r="1193" spans="3:9" ht="28.5" customHeight="1">
      <c r="C1193" s="176" t="s">
        <v>802</v>
      </c>
      <c r="D1193" s="74"/>
      <c r="E1193" s="74"/>
      <c r="F1193" s="106"/>
      <c r="G1193" s="277"/>
      <c r="H1193" s="321"/>
      <c r="I1193" s="376"/>
    </row>
    <row r="1194" spans="3:9" ht="21" customHeight="1">
      <c r="C1194" s="172" t="s">
        <v>597</v>
      </c>
      <c r="D1194" s="74"/>
      <c r="E1194" s="74">
        <f>64*400</f>
        <v>25600</v>
      </c>
      <c r="F1194" s="156">
        <v>1.46875</v>
      </c>
      <c r="G1194" s="277">
        <f t="shared" ref="G1194:G1200" si="26">E1194*F1194</f>
        <v>37600</v>
      </c>
      <c r="H1194" s="321">
        <f>G1194*I7</f>
        <v>3177200</v>
      </c>
      <c r="I1194" s="376"/>
    </row>
    <row r="1195" spans="3:9">
      <c r="C1195" s="172" t="s">
        <v>459</v>
      </c>
      <c r="D1195" s="74"/>
      <c r="E1195" s="74">
        <f>64*2</f>
        <v>128</v>
      </c>
      <c r="F1195" s="160">
        <v>4.689569536423841</v>
      </c>
      <c r="G1195" s="164">
        <f t="shared" si="26"/>
        <v>600.26490066225165</v>
      </c>
      <c r="H1195" s="319">
        <f>G1195*I7</f>
        <v>50722.384105960264</v>
      </c>
      <c r="I1195" s="376"/>
    </row>
    <row r="1196" spans="3:9">
      <c r="C1196" s="172" t="s">
        <v>801</v>
      </c>
      <c r="D1196" s="74"/>
      <c r="E1196" s="74">
        <f>64*50</f>
        <v>3200</v>
      </c>
      <c r="F1196" s="160">
        <v>25</v>
      </c>
      <c r="G1196" s="164">
        <f t="shared" si="26"/>
        <v>80000</v>
      </c>
      <c r="H1196" s="319">
        <f>G1196*I7</f>
        <v>6760000</v>
      </c>
      <c r="I1196" s="376"/>
    </row>
    <row r="1197" spans="3:9">
      <c r="C1197" s="172" t="s">
        <v>598</v>
      </c>
      <c r="D1197" s="74"/>
      <c r="E1197" s="74">
        <f>64*100</f>
        <v>6400</v>
      </c>
      <c r="F1197" s="160">
        <v>0.5</v>
      </c>
      <c r="G1197" s="164">
        <f t="shared" si="26"/>
        <v>3200</v>
      </c>
      <c r="H1197" s="319">
        <f>G1197*I7</f>
        <v>270400</v>
      </c>
      <c r="I1197" s="376"/>
    </row>
    <row r="1198" spans="3:9">
      <c r="C1198" s="172" t="s">
        <v>458</v>
      </c>
      <c r="D1198" s="74"/>
      <c r="E1198" s="74">
        <f>64*10</f>
        <v>640</v>
      </c>
      <c r="F1198" s="160">
        <v>0.34375</v>
      </c>
      <c r="G1198" s="164">
        <f t="shared" si="26"/>
        <v>220</v>
      </c>
      <c r="H1198" s="319">
        <f>G1198*I7</f>
        <v>18590</v>
      </c>
      <c r="I1198" s="376"/>
    </row>
    <row r="1199" spans="3:9">
      <c r="C1199" s="172" t="s">
        <v>554</v>
      </c>
      <c r="D1199" s="74"/>
      <c r="E1199" s="74">
        <f>64*10</f>
        <v>640</v>
      </c>
      <c r="F1199" s="160">
        <v>0.8125</v>
      </c>
      <c r="G1199" s="164">
        <f t="shared" si="26"/>
        <v>520</v>
      </c>
      <c r="H1199" s="319">
        <f>G1199*I7</f>
        <v>43940</v>
      </c>
      <c r="I1199" s="376"/>
    </row>
    <row r="1200" spans="3:9">
      <c r="C1200" s="172" t="s">
        <v>599</v>
      </c>
      <c r="D1200" s="74"/>
      <c r="E1200" s="74">
        <f>64*10</f>
        <v>640</v>
      </c>
      <c r="F1200" s="160">
        <v>7.5192307692307692</v>
      </c>
      <c r="G1200" s="164">
        <f t="shared" si="26"/>
        <v>4812.3076923076924</v>
      </c>
      <c r="H1200" s="319">
        <f>G1200*I7</f>
        <v>406640</v>
      </c>
      <c r="I1200" s="376"/>
    </row>
    <row r="1201" spans="2:9">
      <c r="C1201" s="131" t="s">
        <v>518</v>
      </c>
      <c r="D1201" s="113"/>
      <c r="E1201" s="113"/>
      <c r="F1201" s="113"/>
      <c r="G1201" s="270">
        <f>SUM(G1194:G1200)</f>
        <v>126952.57259296994</v>
      </c>
      <c r="H1201" s="320">
        <f>G1201*I7</f>
        <v>10727492.38410596</v>
      </c>
      <c r="I1201" s="376"/>
    </row>
    <row r="1202" spans="2:9">
      <c r="B1202" s="83"/>
      <c r="C1202" s="216" t="s">
        <v>867</v>
      </c>
      <c r="D1202" s="106"/>
      <c r="E1202" s="106"/>
      <c r="F1202" s="106"/>
      <c r="G1202" s="277">
        <f>(G1192+G1201)*25%</f>
        <v>37870.955648242481</v>
      </c>
      <c r="H1202" s="321">
        <f>G1202*I7</f>
        <v>3200095.7522764895</v>
      </c>
      <c r="I1202" s="376"/>
    </row>
    <row r="1203" spans="2:9">
      <c r="C1203" s="130" t="s">
        <v>804</v>
      </c>
      <c r="D1203" s="113"/>
      <c r="E1203" s="113"/>
      <c r="F1203" s="113"/>
      <c r="G1203" s="270">
        <f>(G1192+G1201+G1202)*1.05</f>
        <v>198822.51715327305</v>
      </c>
      <c r="H1203" s="320">
        <f>G1203*I7</f>
        <v>16800502.699451573</v>
      </c>
      <c r="I1203" s="376"/>
    </row>
    <row r="1204" spans="2:9" ht="15.75" customHeight="1" thickBot="1">
      <c r="C1204" s="710" t="s">
        <v>1099</v>
      </c>
      <c r="D1204" s="711"/>
      <c r="E1204" s="711"/>
      <c r="F1204" s="711"/>
      <c r="G1204" s="711"/>
      <c r="H1204" s="711"/>
      <c r="I1204" s="712"/>
    </row>
    <row r="1206" spans="2:9" ht="15.75" thickBot="1"/>
    <row r="1207" spans="2:9" ht="15" customHeight="1">
      <c r="B1207" s="79" t="str">
        <f>'Costed Impl plan'!B149</f>
        <v>3.5.1</v>
      </c>
      <c r="C1207" s="704" t="str">
        <f>'Costed Impl plan'!C149</f>
        <v>Provide technical support for development and implement workplans in key Ministries</v>
      </c>
      <c r="D1207" s="705"/>
      <c r="E1207" s="705"/>
      <c r="F1207" s="705"/>
      <c r="G1207" s="705"/>
      <c r="H1207" s="713"/>
      <c r="I1207" s="706"/>
    </row>
    <row r="1208" spans="2:9" ht="22.9" customHeight="1">
      <c r="C1208" s="707" t="s">
        <v>1096</v>
      </c>
      <c r="D1208" s="708"/>
      <c r="E1208" s="708"/>
      <c r="F1208" s="708"/>
      <c r="G1208" s="708"/>
      <c r="H1208" s="759"/>
      <c r="I1208" s="709"/>
    </row>
    <row r="1209" spans="2:9" ht="29.25" customHeight="1">
      <c r="C1209" s="131" t="s">
        <v>452</v>
      </c>
      <c r="D1209" s="113" t="s">
        <v>703</v>
      </c>
      <c r="E1209" s="113" t="s">
        <v>453</v>
      </c>
      <c r="F1209" s="113" t="s">
        <v>935</v>
      </c>
      <c r="G1209" s="270" t="s">
        <v>932</v>
      </c>
      <c r="H1209" s="270" t="s">
        <v>933</v>
      </c>
      <c r="I1209" s="375" t="s">
        <v>651</v>
      </c>
    </row>
    <row r="1210" spans="2:9">
      <c r="C1210" s="77" t="s">
        <v>1097</v>
      </c>
      <c r="D1210" s="74"/>
      <c r="E1210" s="74"/>
      <c r="F1210" s="74"/>
      <c r="G1210" s="164"/>
      <c r="H1210" s="300"/>
      <c r="I1210" s="376"/>
    </row>
    <row r="1211" spans="2:9">
      <c r="C1211" s="150" t="s">
        <v>714</v>
      </c>
      <c r="D1211" s="74" t="s">
        <v>706</v>
      </c>
      <c r="E1211" s="74">
        <v>0</v>
      </c>
      <c r="F1211" s="74">
        <v>0</v>
      </c>
      <c r="G1211" s="164">
        <f>E1211*F1211</f>
        <v>0</v>
      </c>
      <c r="H1211" s="300">
        <f>G1211*I7</f>
        <v>0</v>
      </c>
      <c r="I1211" s="376"/>
    </row>
    <row r="1212" spans="2:9" s="79" customFormat="1">
      <c r="C1212" s="75" t="s">
        <v>715</v>
      </c>
      <c r="D1212" s="82"/>
      <c r="E1212" s="82"/>
      <c r="F1212" s="82"/>
      <c r="G1212" s="267">
        <f>SUM(G1211:G1211)</f>
        <v>0</v>
      </c>
      <c r="H1212" s="299">
        <f>G1212*I7</f>
        <v>0</v>
      </c>
      <c r="I1212" s="445"/>
    </row>
    <row r="1213" spans="2:9" s="79" customFormat="1" ht="30">
      <c r="C1213" s="151" t="s">
        <v>498</v>
      </c>
      <c r="D1213" s="74" t="s">
        <v>862</v>
      </c>
      <c r="E1213" s="74">
        <v>80</v>
      </c>
      <c r="F1213" s="160">
        <v>50</v>
      </c>
      <c r="G1213" s="164">
        <f>E1213*F1213</f>
        <v>4000</v>
      </c>
      <c r="H1213" s="300">
        <f>G1213*I7</f>
        <v>338000</v>
      </c>
      <c r="I1213" s="464" t="s">
        <v>739</v>
      </c>
    </row>
    <row r="1214" spans="2:9">
      <c r="C1214" s="216" t="s">
        <v>867</v>
      </c>
      <c r="D1214" s="113"/>
      <c r="E1214" s="113"/>
      <c r="F1214" s="113"/>
      <c r="G1214" s="277">
        <f>(G1212+G1213)*25%</f>
        <v>1000</v>
      </c>
      <c r="H1214" s="310">
        <f>G1214*I7</f>
        <v>84500</v>
      </c>
      <c r="I1214" s="376"/>
    </row>
    <row r="1215" spans="2:9">
      <c r="C1215" s="66" t="s">
        <v>601</v>
      </c>
      <c r="D1215" s="70"/>
      <c r="E1215" s="70"/>
      <c r="F1215" s="70"/>
      <c r="G1215" s="272">
        <f>(G1212+G1213+G1214)</f>
        <v>5000</v>
      </c>
      <c r="H1215" s="304">
        <f>G1215*I7</f>
        <v>422500</v>
      </c>
      <c r="I1215" s="376"/>
    </row>
    <row r="1216" spans="2:9" ht="15" customHeight="1" thickBot="1">
      <c r="C1216" s="710" t="s">
        <v>1095</v>
      </c>
      <c r="D1216" s="711"/>
      <c r="E1216" s="711"/>
      <c r="F1216" s="711"/>
      <c r="G1216" s="711"/>
      <c r="H1216" s="711"/>
      <c r="I1216" s="712"/>
    </row>
    <row r="1219" spans="2:9" ht="15.75" thickBot="1"/>
    <row r="1220" spans="2:9" ht="15" customHeight="1">
      <c r="B1220" s="79" t="str">
        <f>'Costed Impl plan'!B150</f>
        <v>3.5.2</v>
      </c>
      <c r="C1220" s="704" t="str">
        <f>'Costed Impl plan'!C150</f>
        <v>Develop and implement strategy for Ministry of Home Affairs</v>
      </c>
      <c r="D1220" s="705"/>
      <c r="E1220" s="705"/>
      <c r="F1220" s="705"/>
      <c r="G1220" s="705"/>
      <c r="H1220" s="713"/>
      <c r="I1220" s="706"/>
    </row>
    <row r="1221" spans="2:9" ht="30.75" customHeight="1">
      <c r="C1221" s="728" t="s">
        <v>602</v>
      </c>
      <c r="D1221" s="729"/>
      <c r="E1221" s="729"/>
      <c r="F1221" s="729"/>
      <c r="G1221" s="729"/>
      <c r="H1221" s="324"/>
      <c r="I1221" s="376"/>
    </row>
    <row r="1222" spans="2:9" ht="30.75" customHeight="1">
      <c r="C1222" s="131" t="s">
        <v>452</v>
      </c>
      <c r="D1222" s="113" t="s">
        <v>703</v>
      </c>
      <c r="E1222" s="113" t="s">
        <v>453</v>
      </c>
      <c r="F1222" s="113" t="s">
        <v>935</v>
      </c>
      <c r="G1222" s="270" t="s">
        <v>932</v>
      </c>
      <c r="H1222" s="270" t="s">
        <v>933</v>
      </c>
      <c r="I1222" s="375" t="s">
        <v>651</v>
      </c>
    </row>
    <row r="1223" spans="2:9" ht="21" customHeight="1">
      <c r="C1223" s="407" t="s">
        <v>843</v>
      </c>
      <c r="D1223" s="408"/>
      <c r="E1223" s="408"/>
      <c r="F1223" s="221"/>
      <c r="G1223" s="277">
        <v>150000</v>
      </c>
      <c r="H1223" s="310">
        <f>G1223*I7</f>
        <v>12675000</v>
      </c>
      <c r="I1223" s="376"/>
    </row>
    <row r="1224" spans="2:9" s="79" customFormat="1">
      <c r="C1224" s="216" t="s">
        <v>867</v>
      </c>
      <c r="D1224" s="82"/>
      <c r="E1224" s="82"/>
      <c r="F1224" s="210"/>
      <c r="G1224" s="164">
        <f>G1223*25%</f>
        <v>37500</v>
      </c>
      <c r="H1224" s="300">
        <f>G1224*I7</f>
        <v>3168750</v>
      </c>
      <c r="I1224" s="377"/>
    </row>
    <row r="1225" spans="2:9">
      <c r="C1225" s="76" t="s">
        <v>601</v>
      </c>
      <c r="D1225" s="94"/>
      <c r="E1225" s="94"/>
      <c r="F1225" s="94"/>
      <c r="G1225" s="273">
        <f>(G1223+G1224)</f>
        <v>187500</v>
      </c>
      <c r="H1225" s="306">
        <f>G1225*I7</f>
        <v>15843750</v>
      </c>
      <c r="I1225" s="376"/>
    </row>
    <row r="1226" spans="2:9" ht="15.75" thickBot="1">
      <c r="C1226" s="710" t="s">
        <v>1095</v>
      </c>
      <c r="D1226" s="711"/>
      <c r="E1226" s="711"/>
      <c r="F1226" s="711"/>
      <c r="G1226" s="711"/>
      <c r="H1226" s="711"/>
      <c r="I1226" s="712"/>
    </row>
    <row r="1228" spans="2:9" ht="15.75" thickBot="1"/>
    <row r="1229" spans="2:9" ht="17.25" customHeight="1">
      <c r="B1229" s="79" t="str">
        <f>'Costed Impl plan'!B151</f>
        <v>3.5.3</v>
      </c>
      <c r="C1229" s="732" t="str">
        <f>'Costed Impl plan'!C151</f>
        <v>Provide technical support to Human Rights Commission to address HIV related human rights issues</v>
      </c>
      <c r="D1229" s="733"/>
      <c r="E1229" s="733"/>
      <c r="F1229" s="733"/>
      <c r="G1229" s="733"/>
      <c r="H1229" s="733"/>
      <c r="I1229" s="734"/>
    </row>
    <row r="1230" spans="2:9" ht="32.25" customHeight="1">
      <c r="C1230" s="131" t="s">
        <v>452</v>
      </c>
      <c r="D1230" s="113" t="s">
        <v>703</v>
      </c>
      <c r="E1230" s="113" t="s">
        <v>453</v>
      </c>
      <c r="F1230" s="113" t="s">
        <v>935</v>
      </c>
      <c r="G1230" s="270" t="s">
        <v>932</v>
      </c>
      <c r="H1230" s="270" t="s">
        <v>933</v>
      </c>
      <c r="I1230" s="375" t="s">
        <v>651</v>
      </c>
    </row>
    <row r="1231" spans="2:9">
      <c r="C1231" s="77" t="s">
        <v>805</v>
      </c>
      <c r="D1231" s="74"/>
      <c r="E1231" s="74"/>
      <c r="F1231" s="74"/>
      <c r="G1231" s="164"/>
      <c r="H1231" s="300"/>
      <c r="I1231" s="376"/>
    </row>
    <row r="1232" spans="2:9">
      <c r="C1232" s="150" t="s">
        <v>714</v>
      </c>
      <c r="D1232" s="74" t="s">
        <v>706</v>
      </c>
      <c r="E1232" s="74">
        <v>30</v>
      </c>
      <c r="F1232" s="74">
        <v>200</v>
      </c>
      <c r="G1232" s="164">
        <f>E1232*F1232</f>
        <v>6000</v>
      </c>
      <c r="H1232" s="300">
        <f>G1232*I7</f>
        <v>507000</v>
      </c>
      <c r="I1232" s="376"/>
    </row>
    <row r="1233" spans="2:9" s="79" customFormat="1">
      <c r="C1233" s="75" t="s">
        <v>715</v>
      </c>
      <c r="D1233" s="82"/>
      <c r="E1233" s="82"/>
      <c r="F1233" s="82"/>
      <c r="G1233" s="267">
        <f>SUM(G1232:G1232)</f>
        <v>6000</v>
      </c>
      <c r="H1233" s="299">
        <f>G1233*I7</f>
        <v>507000</v>
      </c>
      <c r="I1233" s="445"/>
    </row>
    <row r="1234" spans="2:9" s="79" customFormat="1" ht="30">
      <c r="C1234" s="151" t="s">
        <v>498</v>
      </c>
      <c r="D1234" s="74" t="s">
        <v>862</v>
      </c>
      <c r="E1234" s="74">
        <v>100</v>
      </c>
      <c r="F1234" s="160">
        <v>50</v>
      </c>
      <c r="G1234" s="267">
        <f>E1234*F1234</f>
        <v>5000</v>
      </c>
      <c r="H1234" s="299">
        <f>G1234*I7</f>
        <v>422500</v>
      </c>
      <c r="I1234" s="441" t="s">
        <v>806</v>
      </c>
    </row>
    <row r="1235" spans="2:9" s="95" customFormat="1">
      <c r="C1235" s="216" t="s">
        <v>867</v>
      </c>
      <c r="D1235" s="82"/>
      <c r="E1235" s="82"/>
      <c r="F1235" s="241"/>
      <c r="G1235" s="164">
        <f>(G1233+G1234)*25%</f>
        <v>2750</v>
      </c>
      <c r="H1235" s="300">
        <f>G1235*I7</f>
        <v>232375</v>
      </c>
      <c r="I1235" s="446"/>
    </row>
    <row r="1236" spans="2:9" ht="15.75" thickBot="1">
      <c r="C1236" s="92" t="s">
        <v>463</v>
      </c>
      <c r="D1236" s="93"/>
      <c r="E1236" s="93"/>
      <c r="F1236" s="93"/>
      <c r="G1236" s="227">
        <f>G1233+G1234+G1235</f>
        <v>13750</v>
      </c>
      <c r="H1236" s="305">
        <f>G1236*I7</f>
        <v>1161875</v>
      </c>
      <c r="I1236" s="432"/>
    </row>
    <row r="1237" spans="2:9" ht="15.75" thickBot="1">
      <c r="C1237" s="710" t="s">
        <v>1095</v>
      </c>
      <c r="D1237" s="711"/>
      <c r="E1237" s="711"/>
      <c r="F1237" s="711"/>
      <c r="G1237" s="711"/>
      <c r="H1237" s="711"/>
      <c r="I1237" s="712"/>
    </row>
    <row r="1239" spans="2:9" ht="15.75" thickBot="1"/>
    <row r="1240" spans="2:9" ht="25.5" customHeight="1">
      <c r="B1240" s="79" t="str">
        <f>'Costed Impl plan'!B152</f>
        <v>3.5.4</v>
      </c>
      <c r="C1240" s="704" t="str">
        <f>'Costed Impl plan'!C152</f>
        <v xml:space="preserve">Provide technical support to Faith Based Organisations for advocacy, development of IEC materials and Training </v>
      </c>
      <c r="D1240" s="705"/>
      <c r="E1240" s="705"/>
      <c r="F1240" s="705"/>
      <c r="G1240" s="705"/>
      <c r="H1240" s="713"/>
      <c r="I1240" s="706"/>
    </row>
    <row r="1241" spans="2:9" ht="34.5" customHeight="1">
      <c r="C1241" s="131" t="s">
        <v>452</v>
      </c>
      <c r="D1241" s="113" t="s">
        <v>703</v>
      </c>
      <c r="E1241" s="113" t="s">
        <v>453</v>
      </c>
      <c r="F1241" s="113" t="s">
        <v>935</v>
      </c>
      <c r="G1241" s="270" t="s">
        <v>932</v>
      </c>
      <c r="H1241" s="270" t="s">
        <v>933</v>
      </c>
      <c r="I1241" s="375" t="s">
        <v>651</v>
      </c>
    </row>
    <row r="1242" spans="2:9">
      <c r="C1242" s="77" t="s">
        <v>805</v>
      </c>
      <c r="D1242" s="74"/>
      <c r="E1242" s="74"/>
      <c r="F1242" s="74"/>
      <c r="G1242" s="164"/>
      <c r="H1242" s="300"/>
      <c r="I1242" s="376"/>
    </row>
    <row r="1243" spans="2:9">
      <c r="C1243" s="150" t="s">
        <v>714</v>
      </c>
      <c r="D1243" s="74" t="s">
        <v>706</v>
      </c>
      <c r="E1243" s="74">
        <v>30</v>
      </c>
      <c r="F1243" s="74">
        <v>200</v>
      </c>
      <c r="G1243" s="164">
        <f>E1243*F1243</f>
        <v>6000</v>
      </c>
      <c r="H1243" s="300">
        <f>G1243*I7</f>
        <v>507000</v>
      </c>
      <c r="I1243" s="376"/>
    </row>
    <row r="1244" spans="2:9" s="79" customFormat="1">
      <c r="C1244" s="75" t="s">
        <v>715</v>
      </c>
      <c r="D1244" s="82"/>
      <c r="E1244" s="82"/>
      <c r="F1244" s="82"/>
      <c r="G1244" s="267">
        <f>SUM(G1243:G1243)</f>
        <v>6000</v>
      </c>
      <c r="H1244" s="299">
        <f>G1244*I7</f>
        <v>507000</v>
      </c>
      <c r="I1244" s="445"/>
    </row>
    <row r="1245" spans="2:9" s="79" customFormat="1" ht="30">
      <c r="C1245" s="151" t="s">
        <v>498</v>
      </c>
      <c r="D1245" s="74" t="s">
        <v>862</v>
      </c>
      <c r="E1245" s="74">
        <v>100</v>
      </c>
      <c r="F1245" s="160">
        <v>50</v>
      </c>
      <c r="G1245" s="267">
        <f>E1245*F1245</f>
        <v>5000</v>
      </c>
      <c r="H1245" s="299">
        <f>G1245*I7</f>
        <v>422500</v>
      </c>
      <c r="I1245" s="441" t="s">
        <v>806</v>
      </c>
    </row>
    <row r="1246" spans="2:9" s="95" customFormat="1">
      <c r="C1246" s="216" t="s">
        <v>867</v>
      </c>
      <c r="D1246" s="82"/>
      <c r="E1246" s="82"/>
      <c r="F1246" s="241"/>
      <c r="G1246" s="164">
        <f>(G1244+G1245)*25%</f>
        <v>2750</v>
      </c>
      <c r="H1246" s="300">
        <f>G1246*I7</f>
        <v>232375</v>
      </c>
      <c r="I1246" s="446"/>
    </row>
    <row r="1247" spans="2:9" ht="15.75" thickBot="1">
      <c r="C1247" s="92" t="s">
        <v>463</v>
      </c>
      <c r="D1247" s="93"/>
      <c r="E1247" s="93"/>
      <c r="F1247" s="93"/>
      <c r="G1247" s="227">
        <f>G1244+G1245+G1246</f>
        <v>13750</v>
      </c>
      <c r="H1247" s="305">
        <f>G1247*I7</f>
        <v>1161875</v>
      </c>
      <c r="I1247" s="432"/>
    </row>
    <row r="1248" spans="2:9" ht="15.75" thickBot="1">
      <c r="C1248" s="710" t="s">
        <v>1095</v>
      </c>
      <c r="D1248" s="711"/>
      <c r="E1248" s="711"/>
      <c r="F1248" s="711"/>
      <c r="G1248" s="711"/>
      <c r="H1248" s="711"/>
      <c r="I1248" s="712"/>
    </row>
    <row r="1251" spans="2:9" ht="15.75" thickBot="1"/>
    <row r="1252" spans="2:9" ht="27.75" customHeight="1">
      <c r="B1252" s="79" t="str">
        <f>'Costed Impl plan'!B153</f>
        <v>3.5.5</v>
      </c>
      <c r="C1252" s="704" t="str">
        <f>'Costed Impl plan'!C153</f>
        <v>Provide technical support, advocacy and capacity development to private sector to strengthen workplace responses to HIV</v>
      </c>
      <c r="D1252" s="705"/>
      <c r="E1252" s="705"/>
      <c r="F1252" s="705"/>
      <c r="G1252" s="705"/>
      <c r="H1252" s="713"/>
      <c r="I1252" s="706"/>
    </row>
    <row r="1253" spans="2:9" ht="30.75" customHeight="1">
      <c r="C1253" s="131" t="s">
        <v>452</v>
      </c>
      <c r="D1253" s="113" t="s">
        <v>703</v>
      </c>
      <c r="E1253" s="113" t="s">
        <v>453</v>
      </c>
      <c r="F1253" s="113" t="s">
        <v>935</v>
      </c>
      <c r="G1253" s="270" t="s">
        <v>932</v>
      </c>
      <c r="H1253" s="270" t="s">
        <v>933</v>
      </c>
      <c r="I1253" s="375" t="s">
        <v>651</v>
      </c>
    </row>
    <row r="1254" spans="2:9" ht="20.25" customHeight="1">
      <c r="C1254" s="259" t="s">
        <v>805</v>
      </c>
      <c r="D1254" s="74"/>
      <c r="E1254" s="74"/>
      <c r="F1254" s="74"/>
      <c r="G1254" s="164"/>
      <c r="H1254" s="300"/>
      <c r="I1254" s="376"/>
    </row>
    <row r="1255" spans="2:9">
      <c r="C1255" s="150" t="s">
        <v>714</v>
      </c>
      <c r="D1255" s="74" t="s">
        <v>706</v>
      </c>
      <c r="E1255" s="74">
        <v>0</v>
      </c>
      <c r="F1255" s="74">
        <v>0</v>
      </c>
      <c r="G1255" s="164">
        <f>E1255*F1255</f>
        <v>0</v>
      </c>
      <c r="H1255" s="300">
        <f>G1255*I7</f>
        <v>0</v>
      </c>
      <c r="I1255" s="376"/>
    </row>
    <row r="1256" spans="2:9" s="79" customFormat="1">
      <c r="C1256" s="75" t="s">
        <v>715</v>
      </c>
      <c r="D1256" s="82"/>
      <c r="E1256" s="82"/>
      <c r="F1256" s="82"/>
      <c r="G1256" s="267">
        <f>SUM(G1255:G1255)</f>
        <v>0</v>
      </c>
      <c r="H1256" s="299">
        <f>G1256*I7</f>
        <v>0</v>
      </c>
      <c r="I1256" s="445"/>
    </row>
    <row r="1257" spans="2:9" s="79" customFormat="1" ht="30">
      <c r="C1257" s="151" t="s">
        <v>498</v>
      </c>
      <c r="D1257" s="74" t="s">
        <v>862</v>
      </c>
      <c r="E1257" s="74">
        <v>100</v>
      </c>
      <c r="F1257" s="160">
        <v>50</v>
      </c>
      <c r="G1257" s="267">
        <f>E1257*F1257</f>
        <v>5000</v>
      </c>
      <c r="H1257" s="299">
        <f>G1257*I7</f>
        <v>422500</v>
      </c>
      <c r="I1257" s="464" t="s">
        <v>806</v>
      </c>
    </row>
    <row r="1258" spans="2:9" s="95" customFormat="1">
      <c r="C1258" s="216" t="s">
        <v>867</v>
      </c>
      <c r="D1258" s="82"/>
      <c r="E1258" s="82"/>
      <c r="F1258" s="241"/>
      <c r="G1258" s="164">
        <f>(G1256+G1257)*25%</f>
        <v>1250</v>
      </c>
      <c r="H1258" s="300">
        <f>G1258*I7</f>
        <v>105625</v>
      </c>
      <c r="I1258" s="446"/>
    </row>
    <row r="1259" spans="2:9" ht="15.75" thickBot="1">
      <c r="C1259" s="92" t="s">
        <v>463</v>
      </c>
      <c r="D1259" s="93"/>
      <c r="E1259" s="93"/>
      <c r="F1259" s="93"/>
      <c r="G1259" s="227">
        <f>G1256+G1257+G1258</f>
        <v>6250</v>
      </c>
      <c r="H1259" s="305">
        <f>G1259*I7</f>
        <v>528125</v>
      </c>
      <c r="I1259" s="432"/>
    </row>
    <row r="1260" spans="2:9" ht="15.75" thickBot="1">
      <c r="C1260" s="710" t="s">
        <v>1095</v>
      </c>
      <c r="D1260" s="711"/>
      <c r="E1260" s="711"/>
      <c r="F1260" s="711"/>
      <c r="G1260" s="711"/>
      <c r="H1260" s="711"/>
      <c r="I1260" s="712"/>
    </row>
    <row r="1263" spans="2:9" ht="15.75" thickBot="1"/>
    <row r="1264" spans="2:9" ht="30.75" customHeight="1">
      <c r="B1264" s="79" t="str">
        <f>'Costed Impl plan'!B154</f>
        <v>3.5.6</v>
      </c>
      <c r="C1264" s="704" t="str">
        <f>'Costed Impl plan'!C154</f>
        <v>Sensitize and mobilize the involvement of the media in contributing to the HIV response in Bangladesh</v>
      </c>
      <c r="D1264" s="705"/>
      <c r="E1264" s="705"/>
      <c r="F1264" s="705"/>
      <c r="G1264" s="705"/>
      <c r="H1264" s="713"/>
      <c r="I1264" s="706"/>
    </row>
    <row r="1265" spans="2:9" ht="30" customHeight="1">
      <c r="C1265" s="131" t="s">
        <v>452</v>
      </c>
      <c r="D1265" s="113" t="s">
        <v>703</v>
      </c>
      <c r="E1265" s="113" t="s">
        <v>453</v>
      </c>
      <c r="F1265" s="113" t="s">
        <v>935</v>
      </c>
      <c r="G1265" s="270" t="s">
        <v>932</v>
      </c>
      <c r="H1265" s="270" t="s">
        <v>933</v>
      </c>
      <c r="I1265" s="375" t="s">
        <v>651</v>
      </c>
    </row>
    <row r="1266" spans="2:9">
      <c r="C1266" s="77" t="s">
        <v>805</v>
      </c>
      <c r="D1266" s="74"/>
      <c r="E1266" s="74"/>
      <c r="F1266" s="74"/>
      <c r="G1266" s="164"/>
      <c r="H1266" s="300"/>
      <c r="I1266" s="376"/>
    </row>
    <row r="1267" spans="2:9">
      <c r="C1267" s="150" t="s">
        <v>714</v>
      </c>
      <c r="D1267" s="74" t="s">
        <v>706</v>
      </c>
      <c r="E1267" s="74">
        <v>0</v>
      </c>
      <c r="F1267" s="74">
        <v>0</v>
      </c>
      <c r="G1267" s="164">
        <f>E1267*F1267</f>
        <v>0</v>
      </c>
      <c r="H1267" s="300">
        <f>G1267*I7</f>
        <v>0</v>
      </c>
      <c r="I1267" s="376"/>
    </row>
    <row r="1268" spans="2:9" s="79" customFormat="1">
      <c r="C1268" s="75" t="s">
        <v>715</v>
      </c>
      <c r="D1268" s="82"/>
      <c r="E1268" s="82"/>
      <c r="F1268" s="82"/>
      <c r="G1268" s="267">
        <f>SUM(G1267:G1267)</f>
        <v>0</v>
      </c>
      <c r="H1268" s="299">
        <f>G1268*I7</f>
        <v>0</v>
      </c>
      <c r="I1268" s="445"/>
    </row>
    <row r="1269" spans="2:9" s="79" customFormat="1" ht="30">
      <c r="C1269" s="151" t="s">
        <v>498</v>
      </c>
      <c r="D1269" s="74" t="s">
        <v>862</v>
      </c>
      <c r="E1269" s="74">
        <v>200</v>
      </c>
      <c r="F1269" s="160">
        <v>50</v>
      </c>
      <c r="G1269" s="267">
        <f>E1269*F1269</f>
        <v>10000</v>
      </c>
      <c r="H1269" s="299">
        <f>G1269*I7</f>
        <v>845000</v>
      </c>
      <c r="I1269" s="464" t="s">
        <v>807</v>
      </c>
    </row>
    <row r="1270" spans="2:9" s="95" customFormat="1">
      <c r="C1270" s="216" t="s">
        <v>867</v>
      </c>
      <c r="D1270" s="82"/>
      <c r="E1270" s="82"/>
      <c r="F1270" s="241"/>
      <c r="G1270" s="164">
        <f>(G1268+G1269)*25%</f>
        <v>2500</v>
      </c>
      <c r="H1270" s="300">
        <f>G1270*I7</f>
        <v>211250</v>
      </c>
      <c r="I1270" s="446"/>
    </row>
    <row r="1271" spans="2:9" ht="15.75" thickBot="1">
      <c r="C1271" s="92" t="s">
        <v>463</v>
      </c>
      <c r="D1271" s="93"/>
      <c r="E1271" s="93"/>
      <c r="F1271" s="93"/>
      <c r="G1271" s="227">
        <f>G1268+G1269+G1270</f>
        <v>12500</v>
      </c>
      <c r="H1271" s="305">
        <f>G1271*I7</f>
        <v>1056250</v>
      </c>
      <c r="I1271" s="432"/>
    </row>
    <row r="1272" spans="2:9" ht="15.75" thickBot="1">
      <c r="C1272" s="710" t="s">
        <v>1095</v>
      </c>
      <c r="D1272" s="711"/>
      <c r="E1272" s="711"/>
      <c r="F1272" s="711"/>
      <c r="G1272" s="711"/>
      <c r="H1272" s="711"/>
      <c r="I1272" s="712"/>
    </row>
    <row r="1274" spans="2:9" ht="15.75" thickBot="1"/>
    <row r="1275" spans="2:9" ht="27.75" customHeight="1">
      <c r="B1275" s="79" t="str">
        <f>'Costed Impl plan'!B155</f>
        <v>3.5.7</v>
      </c>
      <c r="C1275" s="732" t="str">
        <f>'Costed Impl plan'!C155</f>
        <v>Translate into Bangla for wide dissemination of the Recommendation concerning HIV and AIDS and the World of Work among government, employers and workers</v>
      </c>
      <c r="D1275" s="733"/>
      <c r="E1275" s="733"/>
      <c r="F1275" s="733"/>
      <c r="G1275" s="733"/>
      <c r="H1275" s="733"/>
      <c r="I1275" s="734"/>
    </row>
    <row r="1276" spans="2:9" ht="30">
      <c r="C1276" s="131" t="s">
        <v>452</v>
      </c>
      <c r="D1276" s="113" t="s">
        <v>703</v>
      </c>
      <c r="E1276" s="113" t="s">
        <v>453</v>
      </c>
      <c r="F1276" s="113" t="s">
        <v>935</v>
      </c>
      <c r="G1276" s="270" t="s">
        <v>932</v>
      </c>
      <c r="H1276" s="270" t="s">
        <v>933</v>
      </c>
      <c r="I1276" s="375" t="s">
        <v>651</v>
      </c>
    </row>
    <row r="1277" spans="2:9">
      <c r="C1277" s="72" t="s">
        <v>444</v>
      </c>
      <c r="D1277" s="74"/>
      <c r="E1277" s="74"/>
      <c r="F1277" s="74"/>
      <c r="G1277" s="267">
        <f>1000*1.3</f>
        <v>1300</v>
      </c>
      <c r="H1277" s="299">
        <f>G1277*I7</f>
        <v>109850</v>
      </c>
      <c r="I1277" s="376"/>
    </row>
    <row r="1278" spans="2:9">
      <c r="C1278" s="216" t="s">
        <v>867</v>
      </c>
      <c r="D1278" s="74"/>
      <c r="E1278" s="74"/>
      <c r="F1278" s="74"/>
      <c r="G1278" s="164">
        <f>G1277*25%</f>
        <v>325</v>
      </c>
      <c r="H1278" s="300">
        <f>G1278*I7</f>
        <v>27462.5</v>
      </c>
      <c r="I1278" s="376"/>
    </row>
    <row r="1279" spans="2:9" s="79" customFormat="1">
      <c r="C1279" s="260" t="s">
        <v>496</v>
      </c>
      <c r="D1279" s="261"/>
      <c r="E1279" s="261"/>
      <c r="F1279" s="261"/>
      <c r="G1279" s="286">
        <f>G1277+G1278</f>
        <v>1625</v>
      </c>
      <c r="H1279" s="308">
        <f>G1279*I7</f>
        <v>137312.5</v>
      </c>
      <c r="I1279" s="465"/>
    </row>
    <row r="1280" spans="2:9" ht="15.75" thickBot="1">
      <c r="C1280" s="710" t="s">
        <v>1095</v>
      </c>
      <c r="D1280" s="711"/>
      <c r="E1280" s="711"/>
      <c r="F1280" s="711"/>
      <c r="G1280" s="711"/>
      <c r="H1280" s="711"/>
      <c r="I1280" s="712"/>
    </row>
    <row r="1282" spans="2:9" ht="15.75" thickBot="1"/>
    <row r="1283" spans="2:9" ht="25.5" customHeight="1">
      <c r="B1283" s="79" t="str">
        <f>'Costed Impl plan'!B156</f>
        <v>3.5.8</v>
      </c>
      <c r="C1283" s="704" t="str">
        <f>'Costed Impl plan'!C156</f>
        <v xml:space="preserve">Develop posters and leaflets to ensure non-discrimination and promote protection of HIV infected people in recruitment and employment </v>
      </c>
      <c r="D1283" s="705"/>
      <c r="E1283" s="705"/>
      <c r="F1283" s="705"/>
      <c r="G1283" s="705"/>
      <c r="H1283" s="713"/>
      <c r="I1283" s="706"/>
    </row>
    <row r="1284" spans="2:9" ht="30">
      <c r="C1284" s="131" t="s">
        <v>452</v>
      </c>
      <c r="D1284" s="113" t="s">
        <v>703</v>
      </c>
      <c r="E1284" s="113" t="s">
        <v>453</v>
      </c>
      <c r="F1284" s="113" t="s">
        <v>935</v>
      </c>
      <c r="G1284" s="270" t="s">
        <v>932</v>
      </c>
      <c r="H1284" s="270" t="s">
        <v>933</v>
      </c>
      <c r="I1284" s="375" t="s">
        <v>651</v>
      </c>
    </row>
    <row r="1285" spans="2:9">
      <c r="C1285" s="72" t="s">
        <v>444</v>
      </c>
      <c r="D1285" s="74"/>
      <c r="E1285" s="74"/>
      <c r="F1285" s="74"/>
      <c r="G1285" s="267">
        <f>1000*1.3</f>
        <v>1300</v>
      </c>
      <c r="H1285" s="299">
        <f>G1285*I7</f>
        <v>109850</v>
      </c>
      <c r="I1285" s="376"/>
    </row>
    <row r="1286" spans="2:9">
      <c r="C1286" s="216" t="s">
        <v>867</v>
      </c>
      <c r="D1286" s="74"/>
      <c r="E1286" s="74"/>
      <c r="F1286" s="74"/>
      <c r="G1286" s="164">
        <f>G1285*25%</f>
        <v>325</v>
      </c>
      <c r="H1286" s="300">
        <f>G1286*I7</f>
        <v>27462.5</v>
      </c>
      <c r="I1286" s="376"/>
    </row>
    <row r="1287" spans="2:9" s="79" customFormat="1">
      <c r="C1287" s="260" t="s">
        <v>496</v>
      </c>
      <c r="D1287" s="261"/>
      <c r="E1287" s="261"/>
      <c r="F1287" s="261"/>
      <c r="G1287" s="286">
        <f>G1285+G1286</f>
        <v>1625</v>
      </c>
      <c r="H1287" s="308">
        <f>G1287*I7</f>
        <v>137312.5</v>
      </c>
      <c r="I1287" s="465"/>
    </row>
    <row r="1288" spans="2:9" ht="15.75" thickBot="1">
      <c r="C1288" s="710" t="s">
        <v>1095</v>
      </c>
      <c r="D1288" s="711"/>
      <c r="E1288" s="711"/>
      <c r="F1288" s="711"/>
      <c r="G1288" s="711"/>
      <c r="H1288" s="711"/>
      <c r="I1288" s="712"/>
    </row>
    <row r="1290" spans="2:9" ht="15.75" thickBot="1"/>
    <row r="1291" spans="2:9" ht="15" customHeight="1">
      <c r="B1291" s="79" t="str">
        <f>'Costed Impl plan'!B157</f>
        <v>3.5.9</v>
      </c>
      <c r="C1291" s="704" t="str">
        <f>'Costed Impl plan'!C157</f>
        <v xml:space="preserve">Capacity building of employers federation and trade unions on HIV/AIDS </v>
      </c>
      <c r="D1291" s="705"/>
      <c r="E1291" s="705"/>
      <c r="F1291" s="705"/>
      <c r="G1291" s="705"/>
      <c r="H1291" s="705"/>
      <c r="I1291" s="706"/>
    </row>
    <row r="1292" spans="2:9" ht="30">
      <c r="C1292" s="131" t="s">
        <v>452</v>
      </c>
      <c r="D1292" s="113" t="s">
        <v>703</v>
      </c>
      <c r="E1292" s="113" t="s">
        <v>453</v>
      </c>
      <c r="F1292" s="113" t="s">
        <v>935</v>
      </c>
      <c r="G1292" s="270" t="s">
        <v>932</v>
      </c>
      <c r="H1292" s="270" t="s">
        <v>933</v>
      </c>
      <c r="I1292" s="375" t="s">
        <v>651</v>
      </c>
    </row>
    <row r="1293" spans="2:9">
      <c r="C1293" s="72" t="s">
        <v>444</v>
      </c>
      <c r="D1293" s="74"/>
      <c r="E1293" s="74"/>
      <c r="F1293" s="74"/>
      <c r="G1293" s="267">
        <f>1500*1.3</f>
        <v>1950</v>
      </c>
      <c r="H1293" s="267">
        <f>G1293*I7</f>
        <v>164775</v>
      </c>
      <c r="I1293" s="376"/>
    </row>
    <row r="1294" spans="2:9">
      <c r="C1294" s="216" t="s">
        <v>867</v>
      </c>
      <c r="D1294" s="74"/>
      <c r="E1294" s="74"/>
      <c r="F1294" s="74"/>
      <c r="G1294" s="164">
        <f>G1293*25%</f>
        <v>487.5</v>
      </c>
      <c r="H1294" s="164">
        <f>G1294*I7</f>
        <v>41193.75</v>
      </c>
      <c r="I1294" s="376"/>
    </row>
    <row r="1295" spans="2:9" s="79" customFormat="1">
      <c r="C1295" s="77" t="s">
        <v>496</v>
      </c>
      <c r="D1295" s="82"/>
      <c r="E1295" s="82"/>
      <c r="F1295" s="82"/>
      <c r="G1295" s="267">
        <f>G1293+G1294</f>
        <v>2437.5</v>
      </c>
      <c r="H1295" s="267">
        <f>G1295*I7</f>
        <v>205968.75</v>
      </c>
      <c r="I1295" s="445"/>
    </row>
    <row r="1296" spans="2:9" ht="15.75" thickBot="1">
      <c r="C1296" s="710" t="s">
        <v>1095</v>
      </c>
      <c r="D1296" s="711"/>
      <c r="E1296" s="711"/>
      <c r="F1296" s="711"/>
      <c r="G1296" s="711"/>
      <c r="H1296" s="711"/>
      <c r="I1296" s="712"/>
    </row>
    <row r="1299" spans="2:9" ht="15.75" thickBot="1"/>
    <row r="1300" spans="2:9" ht="28.5" customHeight="1">
      <c r="B1300" s="79" t="str">
        <f>'Costed Impl plan'!B158</f>
        <v>3.5.10</v>
      </c>
      <c r="C1300" s="704" t="str">
        <f>'Costed Impl plan'!C158</f>
        <v xml:space="preserve">Providing support to the Ministry of Labour and Employment in adoption of the national workplace policy on HIV/AIDS </v>
      </c>
      <c r="D1300" s="705"/>
      <c r="E1300" s="705"/>
      <c r="F1300" s="705"/>
      <c r="G1300" s="705"/>
      <c r="H1300" s="705"/>
      <c r="I1300" s="706"/>
    </row>
    <row r="1301" spans="2:9" ht="30">
      <c r="C1301" s="131" t="s">
        <v>452</v>
      </c>
      <c r="D1301" s="113" t="s">
        <v>703</v>
      </c>
      <c r="E1301" s="113" t="s">
        <v>453</v>
      </c>
      <c r="F1301" s="113" t="s">
        <v>935</v>
      </c>
      <c r="G1301" s="270" t="s">
        <v>932</v>
      </c>
      <c r="H1301" s="270" t="s">
        <v>933</v>
      </c>
      <c r="I1301" s="375" t="s">
        <v>651</v>
      </c>
    </row>
    <row r="1302" spans="2:9">
      <c r="C1302" s="72" t="s">
        <v>444</v>
      </c>
      <c r="D1302" s="74"/>
      <c r="E1302" s="74"/>
      <c r="F1302" s="74"/>
      <c r="G1302" s="267">
        <f>1500*1.3</f>
        <v>1950</v>
      </c>
      <c r="H1302" s="267">
        <f>G1302*I7</f>
        <v>164775</v>
      </c>
      <c r="I1302" s="376"/>
    </row>
    <row r="1303" spans="2:9">
      <c r="C1303" s="216" t="s">
        <v>867</v>
      </c>
      <c r="D1303" s="74"/>
      <c r="E1303" s="74"/>
      <c r="F1303" s="74"/>
      <c r="G1303" s="164">
        <f>G1302*25%</f>
        <v>487.5</v>
      </c>
      <c r="H1303" s="164">
        <f>G1303*I7</f>
        <v>41193.75</v>
      </c>
      <c r="I1303" s="376"/>
    </row>
    <row r="1304" spans="2:9" s="79" customFormat="1">
      <c r="C1304" s="77" t="s">
        <v>496</v>
      </c>
      <c r="D1304" s="82"/>
      <c r="E1304" s="82"/>
      <c r="F1304" s="82"/>
      <c r="G1304" s="267">
        <f>G1302+G1303</f>
        <v>2437.5</v>
      </c>
      <c r="H1304" s="267">
        <f>G1304*I7</f>
        <v>205968.75</v>
      </c>
      <c r="I1304" s="445"/>
    </row>
    <row r="1305" spans="2:9" ht="15.75" thickBot="1">
      <c r="C1305" s="710" t="s">
        <v>1095</v>
      </c>
      <c r="D1305" s="711"/>
      <c r="E1305" s="711"/>
      <c r="F1305" s="711"/>
      <c r="G1305" s="711"/>
      <c r="H1305" s="711"/>
      <c r="I1305" s="712"/>
    </row>
    <row r="1307" spans="2:9" ht="15.75" thickBot="1"/>
    <row r="1308" spans="2:9" ht="30" customHeight="1">
      <c r="B1308" s="79" t="str">
        <f>'Costed Impl plan'!B159</f>
        <v>3.5.11</v>
      </c>
      <c r="C1308" s="704" t="str">
        <f>'Costed Impl plan'!C159</f>
        <v xml:space="preserve">Providing support to the Employers Federation and Trade Unions for adoption of the workplace policy on HIV/AIDS by its members </v>
      </c>
      <c r="D1308" s="705"/>
      <c r="E1308" s="705"/>
      <c r="F1308" s="705"/>
      <c r="G1308" s="705"/>
      <c r="H1308" s="713"/>
      <c r="I1308" s="706"/>
    </row>
    <row r="1309" spans="2:9" ht="30">
      <c r="C1309" s="131" t="s">
        <v>452</v>
      </c>
      <c r="D1309" s="113" t="s">
        <v>703</v>
      </c>
      <c r="E1309" s="113" t="s">
        <v>453</v>
      </c>
      <c r="F1309" s="113" t="s">
        <v>935</v>
      </c>
      <c r="G1309" s="270" t="s">
        <v>932</v>
      </c>
      <c r="H1309" s="270" t="s">
        <v>933</v>
      </c>
      <c r="I1309" s="375" t="s">
        <v>651</v>
      </c>
    </row>
    <row r="1310" spans="2:9">
      <c r="C1310" s="72" t="s">
        <v>444</v>
      </c>
      <c r="D1310" s="74"/>
      <c r="E1310" s="74"/>
      <c r="F1310" s="74"/>
      <c r="G1310" s="267">
        <f>1500*1.3</f>
        <v>1950</v>
      </c>
      <c r="H1310" s="299">
        <f>G1310*I7</f>
        <v>164775</v>
      </c>
      <c r="I1310" s="376"/>
    </row>
    <row r="1311" spans="2:9">
      <c r="C1311" s="216" t="s">
        <v>867</v>
      </c>
      <c r="D1311" s="74"/>
      <c r="E1311" s="74"/>
      <c r="F1311" s="74"/>
      <c r="G1311" s="164">
        <f>G1310*25%</f>
        <v>487.5</v>
      </c>
      <c r="H1311" s="300">
        <f>G1311*I7</f>
        <v>41193.75</v>
      </c>
      <c r="I1311" s="376"/>
    </row>
    <row r="1312" spans="2:9" s="79" customFormat="1">
      <c r="C1312" s="260" t="s">
        <v>496</v>
      </c>
      <c r="D1312" s="261"/>
      <c r="E1312" s="261"/>
      <c r="F1312" s="261"/>
      <c r="G1312" s="286">
        <f>G1310+G1311</f>
        <v>2437.5</v>
      </c>
      <c r="H1312" s="308">
        <f>G1312*I7</f>
        <v>205968.75</v>
      </c>
      <c r="I1312" s="465"/>
    </row>
    <row r="1313" spans="2:9" ht="15.75" thickBot="1">
      <c r="C1313" s="710" t="s">
        <v>1095</v>
      </c>
      <c r="D1313" s="711"/>
      <c r="E1313" s="711"/>
      <c r="F1313" s="711"/>
      <c r="G1313" s="711"/>
      <c r="H1313" s="711"/>
      <c r="I1313" s="712"/>
    </row>
    <row r="1316" spans="2:9" ht="15.75" thickBot="1"/>
    <row r="1317" spans="2:9" ht="15" customHeight="1">
      <c r="B1317" s="79" t="str">
        <f>'Costed Impl plan'!B162</f>
        <v>3.6.1</v>
      </c>
      <c r="C1317" s="704" t="str">
        <f>'Costed Impl plan'!C162</f>
        <v>Perform functional analysis of human resource needs to implement the national strategy</v>
      </c>
      <c r="D1317" s="705"/>
      <c r="E1317" s="705"/>
      <c r="F1317" s="705"/>
      <c r="G1317" s="705"/>
      <c r="H1317" s="713"/>
      <c r="I1317" s="706"/>
    </row>
    <row r="1318" spans="2:9" ht="28.5" customHeight="1">
      <c r="C1318" s="131" t="s">
        <v>452</v>
      </c>
      <c r="D1318" s="113" t="s">
        <v>703</v>
      </c>
      <c r="E1318" s="113" t="s">
        <v>453</v>
      </c>
      <c r="F1318" s="113" t="s">
        <v>935</v>
      </c>
      <c r="G1318" s="270" t="s">
        <v>932</v>
      </c>
      <c r="H1318" s="270" t="s">
        <v>933</v>
      </c>
      <c r="I1318" s="375" t="s">
        <v>651</v>
      </c>
    </row>
    <row r="1319" spans="2:9">
      <c r="C1319" s="77" t="s">
        <v>720</v>
      </c>
      <c r="D1319" s="74"/>
      <c r="E1319" s="74"/>
      <c r="F1319" s="74"/>
      <c r="G1319" s="164"/>
      <c r="H1319" s="300"/>
      <c r="I1319" s="376"/>
    </row>
    <row r="1320" spans="2:9">
      <c r="C1320" s="150" t="s">
        <v>714</v>
      </c>
      <c r="D1320" s="74" t="s">
        <v>706</v>
      </c>
      <c r="E1320" s="74">
        <v>50</v>
      </c>
      <c r="F1320" s="74">
        <f>275</f>
        <v>275</v>
      </c>
      <c r="G1320" s="164">
        <f>E1320*F1320</f>
        <v>13750</v>
      </c>
      <c r="H1320" s="300">
        <f>G1320*I7</f>
        <v>1161875</v>
      </c>
      <c r="I1320" s="376"/>
    </row>
    <row r="1321" spans="2:9" s="95" customFormat="1">
      <c r="C1321" s="216" t="s">
        <v>867</v>
      </c>
      <c r="D1321" s="82"/>
      <c r="E1321" s="82"/>
      <c r="F1321" s="241"/>
      <c r="G1321" s="164">
        <f>G1320*25%</f>
        <v>3437.5</v>
      </c>
      <c r="H1321" s="300">
        <f>G1321*I7</f>
        <v>290468.75</v>
      </c>
      <c r="I1321" s="446"/>
    </row>
    <row r="1322" spans="2:9" s="79" customFormat="1" ht="15.75" thickBot="1">
      <c r="C1322" s="92" t="s">
        <v>579</v>
      </c>
      <c r="D1322" s="93"/>
      <c r="E1322" s="93"/>
      <c r="F1322" s="93"/>
      <c r="G1322" s="227">
        <f>G1320+G1321</f>
        <v>17187.5</v>
      </c>
      <c r="H1322" s="305">
        <f>G1322*I7</f>
        <v>1452343.75</v>
      </c>
      <c r="I1322" s="466"/>
    </row>
    <row r="1323" spans="2:9" ht="15.75" thickBot="1">
      <c r="C1323" s="710" t="s">
        <v>1095</v>
      </c>
      <c r="D1323" s="711"/>
      <c r="E1323" s="711"/>
      <c r="F1323" s="711"/>
      <c r="G1323" s="711"/>
      <c r="H1323" s="711"/>
      <c r="I1323" s="712"/>
    </row>
    <row r="1324" spans="2:9" s="146" customFormat="1">
      <c r="B1324" s="79"/>
      <c r="C1324" s="111"/>
      <c r="D1324" s="116"/>
      <c r="E1324" s="116"/>
      <c r="F1324" s="166"/>
      <c r="G1324" s="287"/>
      <c r="H1324" s="287"/>
    </row>
    <row r="1325" spans="2:9" ht="15.75" thickBot="1"/>
    <row r="1326" spans="2:9" ht="15" customHeight="1">
      <c r="B1326" s="79" t="str">
        <f>'Costed Impl plan'!B163</f>
        <v>3.6.2</v>
      </c>
      <c r="C1326" s="704" t="str">
        <f>'Costed Impl plan'!C163</f>
        <v xml:space="preserve">Develop core curriculum and training resources </v>
      </c>
      <c r="D1326" s="705"/>
      <c r="E1326" s="705"/>
      <c r="F1326" s="705"/>
      <c r="G1326" s="705"/>
      <c r="H1326" s="713"/>
      <c r="I1326" s="706"/>
    </row>
    <row r="1327" spans="2:9" ht="70.150000000000006" customHeight="1">
      <c r="C1327" s="718" t="s">
        <v>603</v>
      </c>
      <c r="D1327" s="719"/>
      <c r="E1327" s="719"/>
      <c r="F1327" s="719"/>
      <c r="G1327" s="719"/>
      <c r="H1327" s="719"/>
      <c r="I1327" s="720"/>
    </row>
    <row r="1328" spans="2:9" ht="36.75" customHeight="1">
      <c r="C1328" s="131" t="s">
        <v>452</v>
      </c>
      <c r="D1328" s="113" t="s">
        <v>703</v>
      </c>
      <c r="E1328" s="113" t="s">
        <v>453</v>
      </c>
      <c r="F1328" s="113" t="s">
        <v>935</v>
      </c>
      <c r="G1328" s="270" t="s">
        <v>932</v>
      </c>
      <c r="H1328" s="270" t="s">
        <v>933</v>
      </c>
      <c r="I1328" s="376"/>
    </row>
    <row r="1329" spans="2:9">
      <c r="C1329" s="72" t="s">
        <v>604</v>
      </c>
      <c r="D1329" s="74"/>
      <c r="E1329" s="74"/>
      <c r="F1329" s="74"/>
      <c r="G1329" s="164">
        <f>(275*30)*4</f>
        <v>33000</v>
      </c>
      <c r="H1329" s="300">
        <f>G1329*I7</f>
        <v>2788500</v>
      </c>
      <c r="I1329" s="376"/>
    </row>
    <row r="1330" spans="2:9">
      <c r="C1330" s="72" t="s">
        <v>605</v>
      </c>
      <c r="D1330" s="74"/>
      <c r="E1330" s="74"/>
      <c r="F1330" s="74"/>
      <c r="G1330" s="164">
        <f>(275*60)*4</f>
        <v>66000</v>
      </c>
      <c r="H1330" s="300">
        <f>G1330*I7</f>
        <v>5577000</v>
      </c>
      <c r="I1330" s="376"/>
    </row>
    <row r="1331" spans="2:9">
      <c r="C1331" s="72" t="s">
        <v>606</v>
      </c>
      <c r="D1331" s="74"/>
      <c r="E1331" s="74"/>
      <c r="F1331" s="74"/>
      <c r="G1331" s="164">
        <v>100000</v>
      </c>
      <c r="H1331" s="300">
        <f>G1331*I7</f>
        <v>8450000</v>
      </c>
      <c r="I1331" s="376"/>
    </row>
    <row r="1332" spans="2:9">
      <c r="C1332" s="216" t="s">
        <v>867</v>
      </c>
      <c r="D1332" s="70"/>
      <c r="E1332" s="112"/>
      <c r="F1332" s="112"/>
      <c r="G1332" s="271">
        <f>SUM(G1329:G1331)*25%</f>
        <v>49750</v>
      </c>
      <c r="H1332" s="303">
        <f>G1332*I7</f>
        <v>4203875</v>
      </c>
      <c r="I1332" s="376"/>
    </row>
    <row r="1333" spans="2:9">
      <c r="C1333" s="66" t="s">
        <v>808</v>
      </c>
      <c r="D1333" s="70"/>
      <c r="E1333" s="112"/>
      <c r="F1333" s="112"/>
      <c r="G1333" s="272">
        <f>SUM(G1329:G1332)*1.3</f>
        <v>323375</v>
      </c>
      <c r="H1333" s="304">
        <f>G1333*I7</f>
        <v>27325187.5</v>
      </c>
      <c r="I1333" s="376"/>
    </row>
    <row r="1334" spans="2:9" ht="15.75" thickBot="1">
      <c r="C1334" s="710" t="s">
        <v>1095</v>
      </c>
      <c r="D1334" s="711"/>
      <c r="E1334" s="711"/>
      <c r="F1334" s="711"/>
      <c r="G1334" s="711"/>
      <c r="H1334" s="711"/>
      <c r="I1334" s="712"/>
    </row>
    <row r="1336" spans="2:9" ht="15.75" thickBot="1"/>
    <row r="1337" spans="2:9">
      <c r="B1337" s="79" t="str">
        <f>'Costed Impl plan'!B164</f>
        <v>3.6.3</v>
      </c>
      <c r="C1337" s="764" t="str">
        <f>'Costed Impl plan'!C164</f>
        <v>Develop and implement training plan</v>
      </c>
      <c r="D1337" s="765"/>
      <c r="E1337" s="765"/>
      <c r="F1337" s="765"/>
      <c r="G1337" s="765"/>
      <c r="H1337" s="766"/>
      <c r="I1337" s="767"/>
    </row>
    <row r="1338" spans="2:9">
      <c r="C1338" s="72" t="s">
        <v>607</v>
      </c>
      <c r="D1338" s="74"/>
      <c r="E1338" s="74"/>
      <c r="F1338" s="74"/>
      <c r="G1338" s="164"/>
      <c r="H1338" s="300"/>
      <c r="I1338" s="376"/>
    </row>
    <row r="1339" spans="2:9" ht="30.75" customHeight="1">
      <c r="C1339" s="131" t="s">
        <v>452</v>
      </c>
      <c r="D1339" s="113" t="s">
        <v>703</v>
      </c>
      <c r="E1339" s="113" t="s">
        <v>453</v>
      </c>
      <c r="F1339" s="113" t="s">
        <v>935</v>
      </c>
      <c r="G1339" s="270" t="s">
        <v>932</v>
      </c>
      <c r="H1339" s="270" t="s">
        <v>933</v>
      </c>
      <c r="I1339" s="375" t="s">
        <v>651</v>
      </c>
    </row>
    <row r="1340" spans="2:9">
      <c r="C1340" s="77" t="s">
        <v>720</v>
      </c>
      <c r="D1340" s="74"/>
      <c r="E1340" s="74"/>
      <c r="F1340" s="74"/>
      <c r="G1340" s="164"/>
      <c r="H1340" s="300"/>
      <c r="I1340" s="376"/>
    </row>
    <row r="1341" spans="2:9">
      <c r="C1341" s="150" t="s">
        <v>714</v>
      </c>
      <c r="D1341" s="74" t="s">
        <v>706</v>
      </c>
      <c r="E1341" s="74">
        <v>30</v>
      </c>
      <c r="F1341" s="74">
        <v>200</v>
      </c>
      <c r="G1341" s="164">
        <f>E1341*F1341</f>
        <v>6000</v>
      </c>
      <c r="H1341" s="300">
        <f>G1341*I7</f>
        <v>507000</v>
      </c>
      <c r="I1341" s="376"/>
    </row>
    <row r="1342" spans="2:9">
      <c r="C1342" s="150" t="s">
        <v>800</v>
      </c>
      <c r="D1342" s="74" t="s">
        <v>706</v>
      </c>
      <c r="E1342" s="74">
        <v>4</v>
      </c>
      <c r="F1342" s="74">
        <v>18.75</v>
      </c>
      <c r="G1342" s="164">
        <f>E1342*F1342</f>
        <v>75</v>
      </c>
      <c r="H1342" s="300">
        <f>G1342*I7</f>
        <v>6337.5</v>
      </c>
      <c r="I1342" s="376"/>
    </row>
    <row r="1343" spans="2:9" s="79" customFormat="1">
      <c r="C1343" s="75" t="s">
        <v>715</v>
      </c>
      <c r="D1343" s="82"/>
      <c r="E1343" s="82"/>
      <c r="F1343" s="82"/>
      <c r="G1343" s="267">
        <f>SUM(G1341:G1341)</f>
        <v>6000</v>
      </c>
      <c r="H1343" s="299">
        <f>G1343*I7</f>
        <v>507000</v>
      </c>
      <c r="I1343" s="445"/>
    </row>
    <row r="1344" spans="2:9" s="79" customFormat="1" ht="30">
      <c r="C1344" s="151" t="s">
        <v>498</v>
      </c>
      <c r="D1344" s="74" t="s">
        <v>862</v>
      </c>
      <c r="E1344" s="74">
        <f>4*25</f>
        <v>100</v>
      </c>
      <c r="F1344" s="160">
        <v>50</v>
      </c>
      <c r="G1344" s="267">
        <f>E1344*F1344</f>
        <v>5000</v>
      </c>
      <c r="H1344" s="299">
        <f>G1344*I7</f>
        <v>422500</v>
      </c>
      <c r="I1344" s="441" t="s">
        <v>806</v>
      </c>
    </row>
    <row r="1345" spans="2:9">
      <c r="C1345" s="216" t="s">
        <v>867</v>
      </c>
      <c r="D1345" s="70"/>
      <c r="E1345" s="112"/>
      <c r="F1345" s="112"/>
      <c r="G1345" s="271">
        <f>SUM(G1343:G1344)*25%</f>
        <v>2750</v>
      </c>
      <c r="H1345" s="303">
        <f>G1345*I7</f>
        <v>232375</v>
      </c>
      <c r="I1345" s="376"/>
    </row>
    <row r="1346" spans="2:9" ht="15.75" thickBot="1">
      <c r="C1346" s="92" t="s">
        <v>601</v>
      </c>
      <c r="D1346" s="93"/>
      <c r="E1346" s="93"/>
      <c r="F1346" s="93"/>
      <c r="G1346" s="227">
        <f>(G1343+G1344+G1345)*1.05</f>
        <v>14437.5</v>
      </c>
      <c r="H1346" s="305">
        <f>G1346*I7</f>
        <v>1219968.75</v>
      </c>
      <c r="I1346" s="432"/>
    </row>
    <row r="1347" spans="2:9" ht="15.75" thickBot="1">
      <c r="C1347" s="710" t="s">
        <v>1095</v>
      </c>
      <c r="D1347" s="711"/>
      <c r="E1347" s="711"/>
      <c r="F1347" s="711"/>
      <c r="G1347" s="711"/>
      <c r="H1347" s="711"/>
      <c r="I1347" s="712"/>
    </row>
    <row r="1350" spans="2:9">
      <c r="B1350" s="79" t="str">
        <f>'Costed Impl plan'!B167</f>
        <v>3.7.1</v>
      </c>
      <c r="C1350" s="79" t="str">
        <f>'Costed Impl plan'!C167</f>
        <v>Integrate HIV training into capacity development of the health system</v>
      </c>
      <c r="D1350" s="95"/>
    </row>
    <row r="1352" spans="2:9" ht="30" customHeight="1">
      <c r="B1352" s="79" t="str">
        <f>'Costed Impl plan'!B168</f>
        <v>3.7.1.1</v>
      </c>
      <c r="C1352" s="790" t="s">
        <v>165</v>
      </c>
      <c r="D1352" s="790"/>
      <c r="E1352" s="791"/>
      <c r="F1352" s="791"/>
      <c r="G1352" s="791"/>
      <c r="H1352" s="327"/>
    </row>
    <row r="1353" spans="2:9" ht="32.25" customHeight="1">
      <c r="C1353" s="792" t="s">
        <v>608</v>
      </c>
      <c r="D1353" s="792"/>
      <c r="E1353" s="792"/>
      <c r="F1353" s="792"/>
      <c r="G1353" s="792"/>
      <c r="H1353" s="329"/>
    </row>
    <row r="1354" spans="2:9" ht="15.75" thickBot="1"/>
    <row r="1355" spans="2:9" ht="15" customHeight="1">
      <c r="B1355" s="79" t="str">
        <f>'Costed Impl plan'!B169</f>
        <v>3.7.1.1.1</v>
      </c>
      <c r="C1355" s="704" t="str">
        <f>'Costed Impl plan'!C169</f>
        <v>Develop protocol and training materials - 4 identified areas</v>
      </c>
      <c r="D1355" s="705"/>
      <c r="E1355" s="705"/>
      <c r="F1355" s="705"/>
      <c r="G1355" s="705"/>
      <c r="H1355" s="713"/>
      <c r="I1355" s="706"/>
    </row>
    <row r="1356" spans="2:9" ht="30" customHeight="1">
      <c r="C1356" s="131" t="s">
        <v>452</v>
      </c>
      <c r="D1356" s="113" t="s">
        <v>703</v>
      </c>
      <c r="E1356" s="113" t="s">
        <v>453</v>
      </c>
      <c r="F1356" s="113" t="s">
        <v>935</v>
      </c>
      <c r="G1356" s="270" t="s">
        <v>932</v>
      </c>
      <c r="H1356" s="270" t="s">
        <v>933</v>
      </c>
      <c r="I1356" s="375" t="s">
        <v>651</v>
      </c>
    </row>
    <row r="1357" spans="2:9">
      <c r="C1357" s="77" t="s">
        <v>809</v>
      </c>
      <c r="D1357" s="74"/>
      <c r="E1357" s="74"/>
      <c r="F1357" s="74"/>
      <c r="G1357" s="164"/>
      <c r="H1357" s="300"/>
      <c r="I1357" s="376"/>
    </row>
    <row r="1358" spans="2:9">
      <c r="C1358" s="150" t="s">
        <v>714</v>
      </c>
      <c r="D1358" s="74" t="s">
        <v>706</v>
      </c>
      <c r="E1358" s="74">
        <v>60</v>
      </c>
      <c r="F1358" s="74">
        <v>200</v>
      </c>
      <c r="G1358" s="164">
        <f>E1358*F1358</f>
        <v>12000</v>
      </c>
      <c r="H1358" s="300">
        <f>G1358*I7</f>
        <v>1014000</v>
      </c>
      <c r="I1358" s="376"/>
    </row>
    <row r="1359" spans="2:9" s="79" customFormat="1">
      <c r="C1359" s="75" t="s">
        <v>715</v>
      </c>
      <c r="D1359" s="82"/>
      <c r="E1359" s="82"/>
      <c r="F1359" s="82"/>
      <c r="G1359" s="267">
        <f>SUM(G1358:G1358)</f>
        <v>12000</v>
      </c>
      <c r="H1359" s="299">
        <f>G1359*I7</f>
        <v>1014000</v>
      </c>
      <c r="I1359" s="445"/>
    </row>
    <row r="1360" spans="2:9">
      <c r="C1360" s="407" t="s">
        <v>895</v>
      </c>
      <c r="D1360" s="106" t="s">
        <v>810</v>
      </c>
      <c r="E1360" s="74">
        <v>1000</v>
      </c>
      <c r="F1360" s="74">
        <v>7.5</v>
      </c>
      <c r="G1360" s="164">
        <f>E1360*F1360</f>
        <v>7500</v>
      </c>
      <c r="H1360" s="300">
        <f>G1360*I7</f>
        <v>633750</v>
      </c>
      <c r="I1360" s="376"/>
    </row>
    <row r="1361" spans="2:9">
      <c r="C1361" s="216" t="s">
        <v>867</v>
      </c>
      <c r="D1361" s="70"/>
      <c r="E1361" s="112"/>
      <c r="F1361" s="112"/>
      <c r="G1361" s="271">
        <f>SUM(G1359:G1360)*25%</f>
        <v>4875</v>
      </c>
      <c r="H1361" s="303">
        <f>G1361*I7</f>
        <v>411937.5</v>
      </c>
      <c r="I1361" s="376"/>
    </row>
    <row r="1362" spans="2:9" ht="15.75" thickBot="1">
      <c r="C1362" s="139" t="s">
        <v>811</v>
      </c>
      <c r="D1362" s="177"/>
      <c r="E1362" s="153"/>
      <c r="F1362" s="153"/>
      <c r="G1362" s="227">
        <f>SUM(G1359:G1361)*1.05</f>
        <v>25593.75</v>
      </c>
      <c r="H1362" s="305">
        <f>G1362*I7</f>
        <v>2162671.875</v>
      </c>
      <c r="I1362" s="432"/>
    </row>
    <row r="1363" spans="2:9" s="146" customFormat="1">
      <c r="B1363" s="79"/>
      <c r="C1363" s="178"/>
      <c r="D1363" s="179"/>
      <c r="E1363" s="166"/>
      <c r="F1363" s="166"/>
      <c r="G1363" s="281"/>
      <c r="H1363" s="281"/>
    </row>
    <row r="1364" spans="2:9" ht="15" customHeight="1" thickBot="1">
      <c r="D1364" s="83"/>
      <c r="E1364" s="83"/>
      <c r="F1364" s="83"/>
      <c r="G1364" s="83"/>
      <c r="H1364" s="83"/>
    </row>
    <row r="1365" spans="2:9" ht="24" customHeight="1">
      <c r="B1365" s="167" t="str">
        <f>'Costed Impl plan'!$B$170</f>
        <v>3.7.1.1.2</v>
      </c>
      <c r="C1365" s="704" t="s">
        <v>45</v>
      </c>
      <c r="D1365" s="705"/>
      <c r="E1365" s="705"/>
      <c r="F1365" s="705"/>
      <c r="G1365" s="705"/>
      <c r="H1365" s="705"/>
      <c r="I1365" s="706"/>
    </row>
    <row r="1366" spans="2:9">
      <c r="C1366" s="721" t="s">
        <v>1053</v>
      </c>
      <c r="D1366" s="722"/>
      <c r="E1366" s="722"/>
      <c r="F1366" s="722"/>
      <c r="G1366" s="722"/>
      <c r="H1366" s="722"/>
      <c r="I1366" s="723"/>
    </row>
    <row r="1367" spans="2:9" s="95" customFormat="1" ht="30">
      <c r="C1367" s="131" t="s">
        <v>452</v>
      </c>
      <c r="D1367" s="113" t="s">
        <v>703</v>
      </c>
      <c r="E1367" s="113" t="s">
        <v>453</v>
      </c>
      <c r="F1367" s="113" t="s">
        <v>935</v>
      </c>
      <c r="G1367" s="270" t="s">
        <v>932</v>
      </c>
      <c r="H1367" s="270" t="s">
        <v>933</v>
      </c>
      <c r="I1367" s="375" t="s">
        <v>651</v>
      </c>
    </row>
    <row r="1368" spans="2:9">
      <c r="C1368" s="72" t="s">
        <v>740</v>
      </c>
      <c r="D1368" s="74" t="s">
        <v>746</v>
      </c>
      <c r="E1368" s="74"/>
      <c r="F1368" s="160"/>
      <c r="G1368" s="164"/>
      <c r="H1368" s="164"/>
      <c r="I1368" s="376"/>
    </row>
    <row r="1369" spans="2:9">
      <c r="C1369" s="72" t="s">
        <v>741</v>
      </c>
      <c r="D1369" s="74" t="s">
        <v>747</v>
      </c>
      <c r="E1369" s="74"/>
      <c r="F1369" s="160"/>
      <c r="G1369" s="164"/>
      <c r="H1369" s="164"/>
      <c r="I1369" s="376"/>
    </row>
    <row r="1370" spans="2:9">
      <c r="C1370" s="72" t="s">
        <v>742</v>
      </c>
      <c r="D1370" s="74" t="s">
        <v>747</v>
      </c>
      <c r="E1370" s="74"/>
      <c r="F1370" s="160"/>
      <c r="G1370" s="164"/>
      <c r="H1370" s="164"/>
      <c r="I1370" s="376"/>
    </row>
    <row r="1371" spans="2:9">
      <c r="C1371" s="72" t="s">
        <v>713</v>
      </c>
      <c r="D1371" s="74" t="s">
        <v>748</v>
      </c>
      <c r="E1371" s="74"/>
      <c r="F1371" s="160"/>
      <c r="G1371" s="164"/>
      <c r="H1371" s="164"/>
      <c r="I1371" s="376"/>
    </row>
    <row r="1372" spans="2:9">
      <c r="C1372" s="72" t="s">
        <v>743</v>
      </c>
      <c r="D1372" s="74" t="s">
        <v>748</v>
      </c>
      <c r="E1372" s="74"/>
      <c r="F1372" s="160"/>
      <c r="G1372" s="164"/>
      <c r="H1372" s="164"/>
      <c r="I1372" s="376"/>
    </row>
    <row r="1373" spans="2:9">
      <c r="C1373" s="72" t="s">
        <v>744</v>
      </c>
      <c r="D1373" s="74" t="s">
        <v>748</v>
      </c>
      <c r="E1373" s="74"/>
      <c r="F1373" s="160"/>
      <c r="G1373" s="164"/>
      <c r="H1373" s="164"/>
      <c r="I1373" s="376"/>
    </row>
    <row r="1374" spans="2:9">
      <c r="C1374" s="72" t="s">
        <v>745</v>
      </c>
      <c r="D1374" s="74" t="s">
        <v>746</v>
      </c>
      <c r="E1374" s="74"/>
      <c r="F1374" s="160"/>
      <c r="G1374" s="164"/>
      <c r="H1374" s="164"/>
      <c r="I1374" s="376"/>
    </row>
    <row r="1375" spans="2:9">
      <c r="B1375" s="83"/>
      <c r="C1375" s="590" t="s">
        <v>867</v>
      </c>
      <c r="D1375" s="74"/>
      <c r="E1375" s="74"/>
      <c r="F1375" s="74"/>
      <c r="G1375" s="164"/>
      <c r="H1375" s="164"/>
      <c r="I1375" s="376"/>
    </row>
    <row r="1376" spans="2:9">
      <c r="C1376" s="76" t="s">
        <v>506</v>
      </c>
      <c r="D1376" s="94"/>
      <c r="E1376" s="132"/>
      <c r="F1376" s="132"/>
      <c r="G1376" s="273">
        <v>300</v>
      </c>
      <c r="H1376" s="273">
        <f>G1376*I7</f>
        <v>25350</v>
      </c>
      <c r="I1376" s="574"/>
    </row>
    <row r="1377" spans="1:9" ht="15.75" customHeight="1" thickBot="1">
      <c r="C1377" s="710" t="s">
        <v>1110</v>
      </c>
      <c r="D1377" s="711"/>
      <c r="E1377" s="711"/>
      <c r="F1377" s="711"/>
      <c r="G1377" s="711"/>
      <c r="H1377" s="711"/>
      <c r="I1377" s="712"/>
    </row>
    <row r="1378" spans="1:9" ht="15" customHeight="1">
      <c r="D1378" s="83"/>
      <c r="E1378" s="83"/>
      <c r="F1378" s="83"/>
      <c r="G1378" s="83"/>
      <c r="H1378" s="83"/>
    </row>
    <row r="1379" spans="1:9" ht="15" customHeight="1">
      <c r="D1379" s="83"/>
      <c r="E1379" s="83"/>
      <c r="F1379" s="83"/>
      <c r="G1379" s="83"/>
      <c r="H1379" s="83"/>
    </row>
    <row r="1380" spans="1:9">
      <c r="D1380" s="83"/>
      <c r="E1380" s="83"/>
      <c r="F1380" s="83"/>
      <c r="G1380" s="83"/>
      <c r="H1380" s="83"/>
    </row>
    <row r="1381" spans="1:9" ht="15.75" thickBot="1"/>
    <row r="1382" spans="1:9" ht="26.25" customHeight="1">
      <c r="B1382" s="79" t="str">
        <f>'Costed Impl plan'!B171</f>
        <v>3.7.1.2</v>
      </c>
      <c r="C1382" s="704" t="str">
        <f>'Costed Impl plan'!C171</f>
        <v>Identify and ensure access to training in specialisations identified through human resource functional analysis - out country</v>
      </c>
      <c r="D1382" s="705"/>
      <c r="E1382" s="705"/>
      <c r="F1382" s="705"/>
      <c r="G1382" s="705"/>
      <c r="H1382" s="713"/>
      <c r="I1382" s="706"/>
    </row>
    <row r="1383" spans="1:9">
      <c r="C1383" s="72"/>
      <c r="D1383" s="74"/>
      <c r="E1383" s="74"/>
      <c r="F1383" s="74"/>
      <c r="G1383" s="164"/>
      <c r="H1383" s="300"/>
      <c r="I1383" s="376"/>
    </row>
    <row r="1384" spans="1:9" ht="30">
      <c r="C1384" s="131" t="s">
        <v>452</v>
      </c>
      <c r="D1384" s="113" t="s">
        <v>703</v>
      </c>
      <c r="E1384" s="113" t="s">
        <v>453</v>
      </c>
      <c r="F1384" s="113" t="s">
        <v>935</v>
      </c>
      <c r="G1384" s="270" t="s">
        <v>932</v>
      </c>
      <c r="H1384" s="270" t="s">
        <v>933</v>
      </c>
      <c r="I1384" s="375" t="s">
        <v>651</v>
      </c>
    </row>
    <row r="1385" spans="1:9" ht="30">
      <c r="C1385" s="180" t="s">
        <v>609</v>
      </c>
      <c r="D1385" s="181" t="s">
        <v>704</v>
      </c>
      <c r="E1385" s="74">
        <v>8</v>
      </c>
      <c r="F1385" s="110">
        <v>1250</v>
      </c>
      <c r="G1385" s="164">
        <f>E1385*F1385</f>
        <v>10000</v>
      </c>
      <c r="H1385" s="300">
        <f>G1385*I7</f>
        <v>845000</v>
      </c>
      <c r="I1385" s="441" t="s">
        <v>813</v>
      </c>
    </row>
    <row r="1386" spans="1:9">
      <c r="C1386" s="180" t="s">
        <v>455</v>
      </c>
      <c r="D1386" s="181" t="s">
        <v>704</v>
      </c>
      <c r="E1386" s="74">
        <v>60</v>
      </c>
      <c r="F1386" s="110">
        <v>250</v>
      </c>
      <c r="G1386" s="164">
        <f>E1386*F1386</f>
        <v>15000</v>
      </c>
      <c r="H1386" s="300">
        <f>G1386*I7</f>
        <v>1267500</v>
      </c>
      <c r="I1386" s="376"/>
    </row>
    <row r="1387" spans="1:9">
      <c r="C1387" s="180" t="s">
        <v>468</v>
      </c>
      <c r="D1387" s="181" t="s">
        <v>704</v>
      </c>
      <c r="E1387" s="74">
        <v>8</v>
      </c>
      <c r="F1387" s="110">
        <v>196.79625000000001</v>
      </c>
      <c r="G1387" s="164">
        <f>E1387*F1387</f>
        <v>1574.3700000000001</v>
      </c>
      <c r="H1387" s="300">
        <f>G1387*I7</f>
        <v>133034.26500000001</v>
      </c>
      <c r="I1387" s="376"/>
    </row>
    <row r="1388" spans="1:9">
      <c r="C1388" s="180" t="s">
        <v>812</v>
      </c>
      <c r="D1388" s="181" t="s">
        <v>704</v>
      </c>
      <c r="E1388" s="74">
        <v>8</v>
      </c>
      <c r="F1388" s="110">
        <v>2213.9578124999998</v>
      </c>
      <c r="G1388" s="164">
        <f>E1388*F1388</f>
        <v>17711.662499999999</v>
      </c>
      <c r="H1388" s="300">
        <f>G1388*I7</f>
        <v>1496635.48125</v>
      </c>
      <c r="I1388" s="376"/>
    </row>
    <row r="1389" spans="1:9" s="134" customFormat="1">
      <c r="A1389" s="262"/>
      <c r="C1389" s="216" t="s">
        <v>867</v>
      </c>
      <c r="D1389" s="263"/>
      <c r="E1389" s="87"/>
      <c r="F1389" s="87"/>
      <c r="G1389" s="279">
        <f>SUM(G1385:G1388)*25%</f>
        <v>11071.508125</v>
      </c>
      <c r="H1389" s="312">
        <f>G1389*I7</f>
        <v>935542.43656250008</v>
      </c>
      <c r="I1389" s="413"/>
    </row>
    <row r="1390" spans="1:9" s="134" customFormat="1">
      <c r="A1390" s="262"/>
      <c r="C1390" s="258" t="s">
        <v>887</v>
      </c>
      <c r="D1390" s="263"/>
      <c r="E1390" s="87"/>
      <c r="F1390" s="87"/>
      <c r="G1390" s="206">
        <f>SUM(G1385:G1389)*1.05</f>
        <v>58125.417656250007</v>
      </c>
      <c r="H1390" s="301">
        <f>G1390*I7</f>
        <v>4911597.791953126</v>
      </c>
      <c r="I1390" s="413"/>
    </row>
    <row r="1391" spans="1:9" s="134" customFormat="1">
      <c r="C1391" s="135" t="s">
        <v>814</v>
      </c>
      <c r="D1391" s="412"/>
      <c r="E1391" s="82"/>
      <c r="F1391" s="82"/>
      <c r="G1391" s="267">
        <f>G1390/E1385</f>
        <v>7265.6772070312509</v>
      </c>
      <c r="H1391" s="299">
        <f>G1391*I7</f>
        <v>613949.72399414075</v>
      </c>
      <c r="I1391" s="413"/>
    </row>
    <row r="1392" spans="1:9" ht="15" customHeight="1" thickBot="1">
      <c r="C1392" s="710" t="s">
        <v>1124</v>
      </c>
      <c r="D1392" s="711"/>
      <c r="E1392" s="711"/>
      <c r="F1392" s="711"/>
      <c r="G1392" s="711"/>
      <c r="H1392" s="711"/>
      <c r="I1392" s="712"/>
    </row>
    <row r="1395" spans="1:9" ht="15.75" thickBot="1"/>
    <row r="1396" spans="1:9" ht="20.25" customHeight="1">
      <c r="B1396" s="79" t="str">
        <f>'Costed Impl plan'!B172</f>
        <v>3.7.1.3</v>
      </c>
      <c r="C1396" s="704" t="str">
        <f>'Costed Impl plan'!C172</f>
        <v>Ensure access to training for staff of paediatric HIV services</v>
      </c>
      <c r="D1396" s="705"/>
      <c r="E1396" s="705"/>
      <c r="F1396" s="705"/>
      <c r="G1396" s="705"/>
      <c r="H1396" s="713"/>
      <c r="I1396" s="706"/>
    </row>
    <row r="1397" spans="1:9" ht="30">
      <c r="C1397" s="131" t="s">
        <v>452</v>
      </c>
      <c r="D1397" s="113" t="s">
        <v>703</v>
      </c>
      <c r="E1397" s="113" t="s">
        <v>453</v>
      </c>
      <c r="F1397" s="113" t="s">
        <v>935</v>
      </c>
      <c r="G1397" s="270" t="s">
        <v>932</v>
      </c>
      <c r="H1397" s="270" t="s">
        <v>933</v>
      </c>
      <c r="I1397" s="375" t="s">
        <v>651</v>
      </c>
    </row>
    <row r="1398" spans="1:9" ht="30">
      <c r="C1398" s="180" t="s">
        <v>609</v>
      </c>
      <c r="D1398" s="181" t="s">
        <v>704</v>
      </c>
      <c r="E1398" s="74">
        <f>1*5</f>
        <v>5</v>
      </c>
      <c r="F1398" s="110">
        <v>1250</v>
      </c>
      <c r="G1398" s="164">
        <f>E1398*F1398</f>
        <v>6250</v>
      </c>
      <c r="H1398" s="300">
        <f>G1398*I7</f>
        <v>528125</v>
      </c>
      <c r="I1398" s="441" t="s">
        <v>815</v>
      </c>
    </row>
    <row r="1399" spans="1:9">
      <c r="C1399" s="180" t="s">
        <v>455</v>
      </c>
      <c r="D1399" s="181" t="s">
        <v>704</v>
      </c>
      <c r="E1399" s="74">
        <f>5*7</f>
        <v>35</v>
      </c>
      <c r="F1399" s="110">
        <v>250</v>
      </c>
      <c r="G1399" s="164">
        <f>E1399*F1399</f>
        <v>8750</v>
      </c>
      <c r="H1399" s="300">
        <f>G1399*I7</f>
        <v>739375</v>
      </c>
      <c r="I1399" s="376"/>
    </row>
    <row r="1400" spans="1:9">
      <c r="C1400" s="180" t="s">
        <v>468</v>
      </c>
      <c r="D1400" s="181" t="s">
        <v>704</v>
      </c>
      <c r="E1400" s="74">
        <v>5</v>
      </c>
      <c r="F1400" s="110">
        <v>196.79625000000001</v>
      </c>
      <c r="G1400" s="164">
        <f>E1400*F1400</f>
        <v>983.98125000000005</v>
      </c>
      <c r="H1400" s="300">
        <f>G1400*I7</f>
        <v>83146.415625000009</v>
      </c>
      <c r="I1400" s="376"/>
    </row>
    <row r="1401" spans="1:9">
      <c r="C1401" s="180" t="s">
        <v>812</v>
      </c>
      <c r="D1401" s="181" t="s">
        <v>704</v>
      </c>
      <c r="E1401" s="74">
        <v>5</v>
      </c>
      <c r="F1401" s="110">
        <v>2213.9578124999998</v>
      </c>
      <c r="G1401" s="164">
        <f>E1401*F1401</f>
        <v>11069.7890625</v>
      </c>
      <c r="H1401" s="300">
        <f>G1401*I7</f>
        <v>935397.17578125</v>
      </c>
      <c r="I1401" s="376"/>
    </row>
    <row r="1402" spans="1:9" s="134" customFormat="1">
      <c r="A1402" s="262"/>
      <c r="C1402" s="216" t="s">
        <v>867</v>
      </c>
      <c r="D1402" s="263"/>
      <c r="E1402" s="87"/>
      <c r="F1402" s="87"/>
      <c r="G1402" s="279">
        <f>SUM(G1398:G1401)*25%</f>
        <v>6763.4425781250002</v>
      </c>
      <c r="H1402" s="312">
        <f>G1402*I7</f>
        <v>571510.89785156248</v>
      </c>
      <c r="I1402" s="413"/>
    </row>
    <row r="1403" spans="1:9" s="134" customFormat="1">
      <c r="C1403" s="258" t="s">
        <v>887</v>
      </c>
      <c r="D1403" s="263"/>
      <c r="E1403" s="263"/>
      <c r="F1403" s="263"/>
      <c r="G1403" s="206">
        <f>SUM(G1398:G1402)*1.05</f>
        <v>35508.073535156254</v>
      </c>
      <c r="H1403" s="301">
        <f>G1403*I7</f>
        <v>3000432.2137207035</v>
      </c>
      <c r="I1403" s="413"/>
    </row>
    <row r="1404" spans="1:9" s="134" customFormat="1">
      <c r="C1404" s="135" t="s">
        <v>814</v>
      </c>
      <c r="D1404" s="412"/>
      <c r="E1404" s="82"/>
      <c r="F1404" s="82"/>
      <c r="G1404" s="267">
        <f>G1403/E1398</f>
        <v>7101.6147070312509</v>
      </c>
      <c r="H1404" s="299">
        <f>G1404*I7</f>
        <v>600086.44274414075</v>
      </c>
      <c r="I1404" s="413"/>
    </row>
    <row r="1405" spans="1:9" ht="15" customHeight="1" thickBot="1">
      <c r="C1405" s="710" t="s">
        <v>1124</v>
      </c>
      <c r="D1405" s="711"/>
      <c r="E1405" s="711"/>
      <c r="F1405" s="711"/>
      <c r="G1405" s="711"/>
      <c r="H1405" s="711"/>
      <c r="I1405" s="712"/>
    </row>
    <row r="1407" spans="1:9" ht="15.75" thickBot="1"/>
    <row r="1408" spans="1:9" ht="22.5" customHeight="1">
      <c r="B1408" s="79" t="str">
        <f>'Costed Impl plan'!B173</f>
        <v>3.7.1.4</v>
      </c>
      <c r="C1408" s="704" t="str">
        <f>'Costed Impl plan'!C173</f>
        <v>Integrate basic HIV education into training for all health staff - training of master trainers</v>
      </c>
      <c r="D1408" s="705"/>
      <c r="E1408" s="705"/>
      <c r="F1408" s="705"/>
      <c r="G1408" s="705"/>
      <c r="H1408" s="713"/>
      <c r="I1408" s="706"/>
    </row>
    <row r="1409" spans="2:9" ht="30" customHeight="1">
      <c r="B1409" s="167"/>
      <c r="C1409" s="728" t="s">
        <v>610</v>
      </c>
      <c r="D1409" s="729"/>
      <c r="E1409" s="729"/>
      <c r="F1409" s="729"/>
      <c r="G1409" s="729"/>
      <c r="H1409" s="324"/>
      <c r="I1409" s="376"/>
    </row>
    <row r="1410" spans="2:9" ht="30">
      <c r="C1410" s="131" t="s">
        <v>452</v>
      </c>
      <c r="D1410" s="113" t="s">
        <v>703</v>
      </c>
      <c r="E1410" s="113" t="s">
        <v>453</v>
      </c>
      <c r="F1410" s="113" t="s">
        <v>935</v>
      </c>
      <c r="G1410" s="270" t="s">
        <v>932</v>
      </c>
      <c r="H1410" s="270" t="s">
        <v>933</v>
      </c>
      <c r="I1410" s="375" t="s">
        <v>651</v>
      </c>
    </row>
    <row r="1411" spans="2:9">
      <c r="C1411" s="76" t="s">
        <v>611</v>
      </c>
      <c r="D1411" s="94"/>
      <c r="E1411" s="94"/>
      <c r="F1411" s="94"/>
      <c r="G1411" s="273"/>
      <c r="H1411" s="306">
        <f>G1411*I7</f>
        <v>0</v>
      </c>
      <c r="I1411" s="376"/>
    </row>
    <row r="1412" spans="2:9" s="79" customFormat="1">
      <c r="C1412" s="216" t="s">
        <v>867</v>
      </c>
      <c r="D1412" s="82"/>
      <c r="E1412" s="82"/>
      <c r="F1412" s="210"/>
      <c r="G1412" s="164"/>
      <c r="H1412" s="300">
        <f>G1412*I7</f>
        <v>0</v>
      </c>
      <c r="I1412" s="377"/>
    </row>
    <row r="1413" spans="2:9" s="134" customFormat="1">
      <c r="C1413" s="135" t="s">
        <v>814</v>
      </c>
      <c r="D1413" s="412"/>
      <c r="E1413" s="82"/>
      <c r="F1413" s="82"/>
      <c r="G1413" s="267">
        <v>300</v>
      </c>
      <c r="H1413" s="299">
        <f>G1413*I7</f>
        <v>25350</v>
      </c>
      <c r="I1413" s="413"/>
    </row>
    <row r="1414" spans="2:9" ht="15" customHeight="1" thickBot="1">
      <c r="C1414" s="710" t="s">
        <v>1031</v>
      </c>
      <c r="D1414" s="711"/>
      <c r="E1414" s="711"/>
      <c r="F1414" s="711"/>
      <c r="G1414" s="711"/>
      <c r="H1414" s="711"/>
      <c r="I1414" s="712"/>
    </row>
    <row r="1419" spans="2:9" ht="30" customHeight="1">
      <c r="C1419" s="777" t="str">
        <f>'Costed Impl plan'!C174</f>
        <v>Ensure systems for drug and essential commodity supplies to minimise the risk of supply interruption and/or sub standard quality.</v>
      </c>
      <c r="D1419" s="777"/>
      <c r="E1419" s="777"/>
      <c r="F1419" s="777"/>
      <c r="G1419" s="777"/>
      <c r="H1419" s="328"/>
    </row>
    <row r="1420" spans="2:9" ht="15.75" thickBot="1"/>
    <row r="1421" spans="2:9" ht="15" customHeight="1">
      <c r="B1421" s="79" t="str">
        <f>'Costed Impl plan'!B175</f>
        <v>3.7.2.1</v>
      </c>
      <c r="C1421" s="704" t="str">
        <f>'Costed Impl plan'!C175</f>
        <v>Provide technical support for ensuring regulatory frameworks mitigate risk (linked with 3.7.1.1)</v>
      </c>
      <c r="D1421" s="705"/>
      <c r="E1421" s="705"/>
      <c r="F1421" s="705"/>
      <c r="G1421" s="705"/>
      <c r="H1421" s="713"/>
      <c r="I1421" s="706"/>
    </row>
    <row r="1422" spans="2:9" ht="15.75" thickBot="1">
      <c r="C1422" s="108" t="s">
        <v>612</v>
      </c>
      <c r="D1422" s="127"/>
      <c r="E1422" s="127"/>
      <c r="F1422" s="127"/>
      <c r="G1422" s="288">
        <v>0</v>
      </c>
      <c r="H1422" s="316"/>
      <c r="I1422" s="432"/>
    </row>
    <row r="1424" spans="2:9" ht="15.75" thickBot="1"/>
    <row r="1425" spans="2:9" ht="15" customHeight="1">
      <c r="B1425" s="79" t="str">
        <f>'Costed Impl plan'!B176</f>
        <v>3.7.2.2</v>
      </c>
      <c r="C1425" s="704" t="str">
        <f>'Costed Impl plan'!C176</f>
        <v>Technical support will be provided for:(linked with 3.7.1.1)</v>
      </c>
      <c r="D1425" s="705"/>
      <c r="E1425" s="705"/>
      <c r="F1425" s="705"/>
      <c r="G1425" s="705"/>
      <c r="H1425" s="713"/>
      <c r="I1425" s="706"/>
    </row>
    <row r="1426" spans="2:9" ht="33.75" customHeight="1">
      <c r="B1426" s="80" t="str">
        <f>'Costed Impl plan'!B177</f>
        <v>3.7.2.2.1</v>
      </c>
      <c r="C1426" s="783" t="s">
        <v>613</v>
      </c>
      <c r="D1426" s="784"/>
      <c r="E1426" s="784"/>
      <c r="F1426" s="784"/>
      <c r="G1426" s="784"/>
      <c r="H1426" s="330"/>
      <c r="I1426" s="450"/>
    </row>
    <row r="1427" spans="2:9" ht="23.25" customHeight="1">
      <c r="B1427" s="79" t="str">
        <f>'Costed Impl plan'!B178</f>
        <v>3.7.2.2.2</v>
      </c>
      <c r="C1427" s="182" t="str">
        <f>'Costed Impl plan'!C178</f>
        <v>Ensuring comprehensive protocols and procedures have been and are being developed</v>
      </c>
      <c r="D1427" s="82"/>
      <c r="E1427" s="82"/>
      <c r="F1427" s="82"/>
      <c r="G1427" s="267">
        <v>0</v>
      </c>
      <c r="H1427" s="299"/>
      <c r="I1427" s="450"/>
    </row>
    <row r="1428" spans="2:9" ht="22.5" customHeight="1">
      <c r="B1428" s="79" t="str">
        <f>'Costed Impl plan'!B179</f>
        <v>3.7.2.2.3</v>
      </c>
      <c r="C1428" s="785" t="str">
        <f>'Costed Impl plan'!C179</f>
        <v>Improving management systems and human resource capacity</v>
      </c>
      <c r="D1428" s="786"/>
      <c r="E1428" s="786"/>
      <c r="F1428" s="82"/>
      <c r="G1428" s="267">
        <v>0</v>
      </c>
      <c r="H1428" s="299"/>
      <c r="I1428" s="450"/>
    </row>
    <row r="1429" spans="2:9" ht="15.75" thickBot="1">
      <c r="C1429" s="108" t="s">
        <v>614</v>
      </c>
      <c r="D1429" s="127"/>
      <c r="E1429" s="127"/>
      <c r="F1429" s="127"/>
      <c r="G1429" s="278"/>
      <c r="H1429" s="311"/>
      <c r="I1429" s="432"/>
    </row>
    <row r="1431" spans="2:9">
      <c r="B1431" s="79" t="str">
        <f>'Costed Impl plan'!B180</f>
        <v>3.7.3</v>
      </c>
      <c r="C1431" s="79" t="str">
        <f>'Costed Impl plan'!C180</f>
        <v xml:space="preserve">Strengthen laboratory capacity to meet HIV needs. </v>
      </c>
      <c r="D1431" s="95"/>
    </row>
    <row r="1433" spans="2:9" ht="15.75" thickBot="1"/>
    <row r="1434" spans="2:9" ht="15" customHeight="1" thickBot="1">
      <c r="B1434" s="79" t="str">
        <f>'Costed Impl plan'!B181</f>
        <v>3.7.3.1</v>
      </c>
      <c r="C1434" s="704" t="str">
        <f>'Costed Impl plan'!C181</f>
        <v>Undertake laboratory needs assessment (linked with 3.7.1.1)</v>
      </c>
      <c r="D1434" s="705"/>
      <c r="E1434" s="705"/>
      <c r="F1434" s="705"/>
      <c r="G1434" s="705"/>
      <c r="H1434" s="713"/>
      <c r="I1434" s="714"/>
    </row>
    <row r="1435" spans="2:9" ht="15.75" thickBot="1">
      <c r="C1435" s="108" t="s">
        <v>614</v>
      </c>
      <c r="D1435" s="127"/>
      <c r="E1435" s="127"/>
      <c r="F1435" s="127"/>
      <c r="G1435" s="278">
        <v>0</v>
      </c>
      <c r="H1435" s="311"/>
      <c r="I1435" s="467"/>
    </row>
    <row r="1437" spans="2:9" ht="15.75" thickBot="1"/>
    <row r="1438" spans="2:9" ht="15" customHeight="1">
      <c r="B1438" s="79" t="str">
        <f>'Costed Impl plan'!B182</f>
        <v>3.7.3.2</v>
      </c>
      <c r="C1438" s="704" t="str">
        <f>'Costed Impl plan'!C182</f>
        <v>Develop protocol/guidelines for provision of laboratory services (linked with 3.7.1.1)</v>
      </c>
      <c r="D1438" s="705"/>
      <c r="E1438" s="705"/>
      <c r="F1438" s="705"/>
      <c r="G1438" s="705"/>
      <c r="H1438" s="713"/>
      <c r="I1438" s="706"/>
    </row>
    <row r="1439" spans="2:9" ht="15.75" thickBot="1">
      <c r="C1439" s="108" t="s">
        <v>614</v>
      </c>
      <c r="D1439" s="127"/>
      <c r="E1439" s="127"/>
      <c r="F1439" s="127"/>
      <c r="G1439" s="278">
        <v>0</v>
      </c>
      <c r="H1439" s="311"/>
      <c r="I1439" s="432"/>
    </row>
    <row r="1440" spans="2:9">
      <c r="C1440" s="155"/>
      <c r="D1440" s="183"/>
      <c r="E1440" s="183"/>
      <c r="F1440" s="183"/>
      <c r="G1440" s="289"/>
      <c r="H1440" s="289"/>
    </row>
    <row r="1441" spans="2:9" ht="15.75" thickBot="1"/>
    <row r="1442" spans="2:9" ht="21.75" customHeight="1">
      <c r="B1442" s="79" t="str">
        <f>'Costed Impl plan'!B183</f>
        <v>3.7.3.3</v>
      </c>
      <c r="C1442" s="704" t="str">
        <f>'Costed Impl plan'!C183</f>
        <v>Ensure appropriate equipment is available (districts / medical college hospital)</v>
      </c>
      <c r="D1442" s="705"/>
      <c r="E1442" s="705"/>
      <c r="F1442" s="705"/>
      <c r="G1442" s="705"/>
      <c r="H1442" s="713"/>
      <c r="I1442" s="706"/>
    </row>
    <row r="1443" spans="2:9" ht="48.75" customHeight="1">
      <c r="C1443" s="707" t="s">
        <v>924</v>
      </c>
      <c r="D1443" s="708"/>
      <c r="E1443" s="708"/>
      <c r="F1443" s="708"/>
      <c r="G1443" s="708"/>
      <c r="H1443" s="759"/>
      <c r="I1443" s="709"/>
    </row>
    <row r="1444" spans="2:9" ht="31.5" customHeight="1">
      <c r="C1444" s="131" t="s">
        <v>452</v>
      </c>
      <c r="D1444" s="113" t="s">
        <v>703</v>
      </c>
      <c r="E1444" s="113" t="s">
        <v>453</v>
      </c>
      <c r="F1444" s="113" t="s">
        <v>935</v>
      </c>
      <c r="G1444" s="270" t="s">
        <v>932</v>
      </c>
      <c r="H1444" s="270" t="s">
        <v>933</v>
      </c>
      <c r="I1444" s="375" t="s">
        <v>651</v>
      </c>
    </row>
    <row r="1445" spans="2:9">
      <c r="C1445" s="72" t="s">
        <v>615</v>
      </c>
      <c r="D1445" s="74"/>
      <c r="E1445" s="74"/>
      <c r="F1445" s="74"/>
      <c r="G1445" s="164">
        <f>31000*1.3</f>
        <v>40300</v>
      </c>
      <c r="H1445" s="300">
        <f>G1445*I7</f>
        <v>3405350</v>
      </c>
      <c r="I1445" s="376"/>
    </row>
    <row r="1446" spans="2:9">
      <c r="C1446" s="72" t="s">
        <v>1098</v>
      </c>
      <c r="D1446" s="74"/>
      <c r="E1446" s="74"/>
      <c r="F1446" s="78"/>
      <c r="G1446" s="164">
        <v>30000</v>
      </c>
      <c r="H1446" s="300">
        <f>G1446*I7</f>
        <v>2535000</v>
      </c>
      <c r="I1446" s="376"/>
    </row>
    <row r="1447" spans="2:9" s="79" customFormat="1">
      <c r="C1447" s="77" t="s">
        <v>896</v>
      </c>
      <c r="D1447" s="82"/>
      <c r="E1447" s="82"/>
      <c r="F1447" s="223"/>
      <c r="G1447" s="267">
        <f>(G1445+G1446)</f>
        <v>70300</v>
      </c>
      <c r="H1447" s="299">
        <f>G1447*I7</f>
        <v>5940350</v>
      </c>
      <c r="I1447" s="445"/>
    </row>
    <row r="1448" spans="2:9">
      <c r="C1448" s="76" t="s">
        <v>863</v>
      </c>
      <c r="D1448" s="94"/>
      <c r="E1448" s="132"/>
      <c r="F1448" s="225"/>
      <c r="G1448" s="273">
        <f>SUM(G1445:G1447)</f>
        <v>140600</v>
      </c>
      <c r="H1448" s="306">
        <f>G1448*I7</f>
        <v>11880700</v>
      </c>
      <c r="I1448" s="376"/>
    </row>
    <row r="1449" spans="2:9" ht="15.75" customHeight="1" thickBot="1">
      <c r="C1449" s="710" t="s">
        <v>1110</v>
      </c>
      <c r="D1449" s="711"/>
      <c r="E1449" s="711"/>
      <c r="F1449" s="711"/>
      <c r="G1449" s="711"/>
      <c r="H1449" s="711"/>
      <c r="I1449" s="712"/>
    </row>
    <row r="1452" spans="2:9">
      <c r="C1452" s="178"/>
      <c r="D1452" s="179"/>
      <c r="E1452" s="179"/>
      <c r="F1452" s="179"/>
      <c r="G1452" s="290"/>
      <c r="H1452" s="290"/>
    </row>
    <row r="1454" spans="2:9" ht="34.5" customHeight="1">
      <c r="B1454" s="80" t="str">
        <f>'Costed Impl plan'!B184</f>
        <v>3.7.4</v>
      </c>
      <c r="C1454" s="760" t="str">
        <f>'Costed Impl plan'!C184</f>
        <v>Develop linkages with related service areas - Integrate capacity to develop policies, procedures, protocols for shared care and refferal into management training of HIV program management staff (e.g. DIC managers, consortium management staff)</v>
      </c>
      <c r="D1454" s="760"/>
      <c r="E1454" s="760"/>
      <c r="F1454" s="760"/>
      <c r="G1454" s="760"/>
      <c r="H1454" s="760"/>
      <c r="I1454" s="760"/>
    </row>
    <row r="1455" spans="2:9" ht="23.25" customHeight="1">
      <c r="B1455" s="80"/>
      <c r="C1455" s="184"/>
      <c r="D1455" s="184"/>
      <c r="E1455" s="115"/>
      <c r="F1455" s="242"/>
      <c r="G1455" s="284"/>
      <c r="H1455" s="284"/>
      <c r="I1455" s="184"/>
    </row>
    <row r="1456" spans="2:9">
      <c r="C1456" s="83" t="s">
        <v>616</v>
      </c>
    </row>
    <row r="1457" spans="2:9">
      <c r="C1457" s="83" t="s">
        <v>617</v>
      </c>
    </row>
    <row r="1458" spans="2:9">
      <c r="C1458" s="83" t="s">
        <v>1109</v>
      </c>
    </row>
    <row r="1459" spans="2:9" ht="15.75" thickBot="1"/>
    <row r="1460" spans="2:9" ht="15" customHeight="1">
      <c r="B1460" s="79" t="str">
        <f>'Costed Impl plan'!B185</f>
        <v>3.7.4.1</v>
      </c>
      <c r="C1460" s="732" t="str">
        <f>'Costed Impl plan'!C185</f>
        <v>Development and production of referral kits</v>
      </c>
      <c r="D1460" s="733"/>
      <c r="E1460" s="733"/>
      <c r="F1460" s="733"/>
      <c r="G1460" s="733"/>
      <c r="H1460" s="733"/>
      <c r="I1460" s="734"/>
    </row>
    <row r="1461" spans="2:9" ht="28.5" customHeight="1">
      <c r="C1461" s="131" t="s">
        <v>452</v>
      </c>
      <c r="D1461" s="113" t="s">
        <v>703</v>
      </c>
      <c r="E1461" s="113" t="s">
        <v>453</v>
      </c>
      <c r="F1461" s="113" t="s">
        <v>935</v>
      </c>
      <c r="G1461" s="270" t="s">
        <v>932</v>
      </c>
      <c r="H1461" s="270" t="s">
        <v>933</v>
      </c>
      <c r="I1461" s="375" t="s">
        <v>651</v>
      </c>
    </row>
    <row r="1462" spans="2:9">
      <c r="C1462" s="77" t="s">
        <v>805</v>
      </c>
      <c r="D1462" s="74"/>
      <c r="E1462" s="74"/>
      <c r="F1462" s="74"/>
      <c r="G1462" s="164"/>
      <c r="H1462" s="300"/>
      <c r="I1462" s="376"/>
    </row>
    <row r="1463" spans="2:9">
      <c r="C1463" s="150" t="s">
        <v>714</v>
      </c>
      <c r="D1463" s="74" t="s">
        <v>706</v>
      </c>
      <c r="E1463" s="74">
        <v>20</v>
      </c>
      <c r="F1463" s="74">
        <v>200</v>
      </c>
      <c r="G1463" s="164">
        <f>E1463*F1463</f>
        <v>4000</v>
      </c>
      <c r="H1463" s="300">
        <f>G1463*I7</f>
        <v>338000</v>
      </c>
      <c r="I1463" s="376"/>
    </row>
    <row r="1464" spans="2:9" s="79" customFormat="1">
      <c r="C1464" s="75" t="s">
        <v>715</v>
      </c>
      <c r="D1464" s="82"/>
      <c r="E1464" s="82"/>
      <c r="F1464" s="82"/>
      <c r="G1464" s="267">
        <f>G1463</f>
        <v>4000</v>
      </c>
      <c r="H1464" s="299">
        <f>G1464*I7</f>
        <v>338000</v>
      </c>
      <c r="I1464" s="445"/>
    </row>
    <row r="1465" spans="2:9">
      <c r="C1465" s="407" t="s">
        <v>895</v>
      </c>
      <c r="D1465" s="106" t="s">
        <v>810</v>
      </c>
      <c r="E1465" s="74">
        <v>1000</v>
      </c>
      <c r="F1465" s="74">
        <v>7.5</v>
      </c>
      <c r="G1465" s="267">
        <f>E1465*F1465</f>
        <v>7500</v>
      </c>
      <c r="H1465" s="299">
        <f>G1465*I7</f>
        <v>633750</v>
      </c>
      <c r="I1465" s="376"/>
    </row>
    <row r="1466" spans="2:9" s="79" customFormat="1">
      <c r="C1466" s="216" t="s">
        <v>867</v>
      </c>
      <c r="D1466" s="82"/>
      <c r="E1466" s="82"/>
      <c r="F1466" s="223"/>
      <c r="G1466" s="267">
        <f>(G1464+G1465)*25%</f>
        <v>2875</v>
      </c>
      <c r="H1466" s="299">
        <f>G1466*I7</f>
        <v>242937.5</v>
      </c>
      <c r="I1466" s="445"/>
    </row>
    <row r="1467" spans="2:9" ht="15.75" thickBot="1">
      <c r="C1467" s="92" t="s">
        <v>496</v>
      </c>
      <c r="D1467" s="93"/>
      <c r="E1467" s="93"/>
      <c r="F1467" s="93"/>
      <c r="G1467" s="227">
        <f>SUM(G1464:G1466)*1.05</f>
        <v>15093.75</v>
      </c>
      <c r="H1467" s="305">
        <f>G1467*I7</f>
        <v>1275421.875</v>
      </c>
      <c r="I1467" s="432"/>
    </row>
    <row r="1468" spans="2:9" ht="15" customHeight="1" thickBot="1">
      <c r="C1468" s="710" t="s">
        <v>1031</v>
      </c>
      <c r="D1468" s="711"/>
      <c r="E1468" s="711"/>
      <c r="F1468" s="711"/>
      <c r="G1468" s="711"/>
      <c r="H1468" s="711"/>
      <c r="I1468" s="712"/>
    </row>
    <row r="1470" spans="2:9" ht="15.75" thickBot="1"/>
    <row r="1471" spans="2:9" ht="15" customHeight="1">
      <c r="B1471" s="79" t="str">
        <f>'Costed Impl plan'!B186</f>
        <v>3.7.4.2</v>
      </c>
      <c r="C1471" s="704" t="str">
        <f>'Costed Impl plan'!C186</f>
        <v>Conduct training for referral network development</v>
      </c>
      <c r="D1471" s="705"/>
      <c r="E1471" s="705"/>
      <c r="F1471" s="705"/>
      <c r="G1471" s="705"/>
      <c r="H1471" s="713"/>
      <c r="I1471" s="706"/>
    </row>
    <row r="1472" spans="2:9" ht="39" customHeight="1">
      <c r="C1472" s="131" t="s">
        <v>452</v>
      </c>
      <c r="D1472" s="113" t="s">
        <v>703</v>
      </c>
      <c r="E1472" s="113" t="s">
        <v>453</v>
      </c>
      <c r="F1472" s="113" t="s">
        <v>935</v>
      </c>
      <c r="G1472" s="270" t="s">
        <v>932</v>
      </c>
      <c r="H1472" s="270" t="s">
        <v>933</v>
      </c>
      <c r="I1472" s="375" t="s">
        <v>651</v>
      </c>
    </row>
    <row r="1473" spans="2:9" s="171" customFormat="1">
      <c r="B1473" s="170"/>
      <c r="C1473" s="207" t="s">
        <v>1108</v>
      </c>
      <c r="D1473" s="152"/>
      <c r="E1473" s="295"/>
      <c r="F1473" s="152"/>
      <c r="G1473" s="206">
        <f>134*1.3</f>
        <v>174.20000000000002</v>
      </c>
      <c r="H1473" s="301">
        <f>G1473*I7</f>
        <v>14719.900000000001</v>
      </c>
      <c r="I1473" s="388"/>
    </row>
    <row r="1474" spans="2:9" s="79" customFormat="1">
      <c r="C1474" s="216" t="s">
        <v>867</v>
      </c>
      <c r="D1474" s="82"/>
      <c r="E1474" s="82"/>
      <c r="F1474" s="224"/>
      <c r="G1474" s="267">
        <f>G1473*25%</f>
        <v>43.550000000000004</v>
      </c>
      <c r="H1474" s="299">
        <f>G1474*I7</f>
        <v>3679.9750000000004</v>
      </c>
      <c r="I1474" s="377"/>
    </row>
    <row r="1475" spans="2:9">
      <c r="C1475" s="76" t="s">
        <v>496</v>
      </c>
      <c r="D1475" s="94"/>
      <c r="E1475" s="94"/>
      <c r="F1475" s="94"/>
      <c r="G1475" s="273">
        <f>SUM(G1473:G1474)</f>
        <v>217.75000000000003</v>
      </c>
      <c r="H1475" s="306">
        <f>G1475*I7</f>
        <v>18399.875000000004</v>
      </c>
      <c r="I1475" s="376"/>
    </row>
    <row r="1476" spans="2:9" ht="15" customHeight="1" thickBot="1">
      <c r="C1476" s="710" t="s">
        <v>1031</v>
      </c>
      <c r="D1476" s="711"/>
      <c r="E1476" s="711"/>
      <c r="F1476" s="711"/>
      <c r="G1476" s="711"/>
      <c r="H1476" s="711"/>
      <c r="I1476" s="712"/>
    </row>
    <row r="1480" spans="2:9">
      <c r="B1480" s="79" t="str">
        <f>'Costed Impl plan'!B189</f>
        <v>3.8.1</v>
      </c>
      <c r="C1480" s="79" t="str">
        <f>'Costed Impl plan'!C189</f>
        <v>Strengthen role of community based organisations (CBOs) in building an enabling environment</v>
      </c>
      <c r="D1480" s="95"/>
    </row>
    <row r="1482" spans="2:9" ht="15.75" thickBot="1"/>
    <row r="1483" spans="2:9" ht="16.5" customHeight="1">
      <c r="B1483" s="79" t="str">
        <f>'Costed Impl plan'!B190</f>
        <v>3.8.1.1</v>
      </c>
      <c r="C1483" s="704" t="str">
        <f>'Costed Impl plan'!C190</f>
        <v>Provide training for CBOs on policy development and advocacy.</v>
      </c>
      <c r="D1483" s="705"/>
      <c r="E1483" s="705"/>
      <c r="F1483" s="705"/>
      <c r="G1483" s="705"/>
      <c r="H1483" s="705"/>
      <c r="I1483" s="706"/>
    </row>
    <row r="1484" spans="2:9">
      <c r="C1484" s="72" t="s">
        <v>619</v>
      </c>
      <c r="D1484" s="74"/>
      <c r="E1484" s="74"/>
      <c r="F1484" s="74"/>
      <c r="G1484" s="164"/>
      <c r="H1484" s="164"/>
      <c r="I1484" s="376"/>
    </row>
    <row r="1485" spans="2:9" ht="30">
      <c r="C1485" s="131" t="s">
        <v>452</v>
      </c>
      <c r="D1485" s="113" t="s">
        <v>703</v>
      </c>
      <c r="E1485" s="113" t="s">
        <v>453</v>
      </c>
      <c r="F1485" s="113" t="s">
        <v>935</v>
      </c>
      <c r="G1485" s="270" t="s">
        <v>932</v>
      </c>
      <c r="H1485" s="270" t="s">
        <v>933</v>
      </c>
      <c r="I1485" s="375" t="s">
        <v>651</v>
      </c>
    </row>
    <row r="1486" spans="2:9">
      <c r="C1486" s="72" t="s">
        <v>740</v>
      </c>
      <c r="D1486" s="73" t="s">
        <v>746</v>
      </c>
      <c r="E1486" s="74">
        <f>4*3</f>
        <v>12</v>
      </c>
      <c r="F1486" s="160">
        <v>43.75</v>
      </c>
      <c r="G1486" s="164">
        <f>E1486*F1486</f>
        <v>525</v>
      </c>
      <c r="H1486" s="164">
        <f>G1486*I7</f>
        <v>44362.5</v>
      </c>
      <c r="I1486" s="376" t="s">
        <v>816</v>
      </c>
    </row>
    <row r="1487" spans="2:9">
      <c r="C1487" s="72" t="s">
        <v>741</v>
      </c>
      <c r="D1487" s="73" t="s">
        <v>747</v>
      </c>
      <c r="E1487" s="74">
        <f>100*3</f>
        <v>300</v>
      </c>
      <c r="F1487" s="160">
        <v>3.125</v>
      </c>
      <c r="G1487" s="164">
        <f t="shared" ref="G1487:G1492" si="27">E1487*F1487</f>
        <v>937.5</v>
      </c>
      <c r="H1487" s="164">
        <f>G1487*I7</f>
        <v>79218.75</v>
      </c>
      <c r="I1487" s="376"/>
    </row>
    <row r="1488" spans="2:9">
      <c r="C1488" s="72" t="s">
        <v>742</v>
      </c>
      <c r="D1488" s="73" t="s">
        <v>747</v>
      </c>
      <c r="E1488" s="74">
        <f>100*1.5</f>
        <v>150</v>
      </c>
      <c r="F1488" s="160">
        <v>18.75</v>
      </c>
      <c r="G1488" s="164">
        <f t="shared" si="27"/>
        <v>2812.5</v>
      </c>
      <c r="H1488" s="164">
        <f>G1488*I7</f>
        <v>237656.25</v>
      </c>
      <c r="I1488" s="376"/>
    </row>
    <row r="1489" spans="2:9">
      <c r="C1489" s="72" t="s">
        <v>713</v>
      </c>
      <c r="D1489" s="73" t="s">
        <v>748</v>
      </c>
      <c r="E1489" s="74">
        <f>100</f>
        <v>100</v>
      </c>
      <c r="F1489" s="160">
        <v>18.75</v>
      </c>
      <c r="G1489" s="164">
        <f t="shared" si="27"/>
        <v>1875</v>
      </c>
      <c r="H1489" s="164">
        <f>G1489*I7</f>
        <v>158437.5</v>
      </c>
      <c r="I1489" s="376"/>
    </row>
    <row r="1490" spans="2:9">
      <c r="C1490" s="72" t="s">
        <v>743</v>
      </c>
      <c r="D1490" s="73" t="s">
        <v>748</v>
      </c>
      <c r="E1490" s="74">
        <v>100</v>
      </c>
      <c r="F1490" s="160">
        <v>0.75</v>
      </c>
      <c r="G1490" s="164">
        <f t="shared" si="27"/>
        <v>75</v>
      </c>
      <c r="H1490" s="164">
        <f>G1490*I7</f>
        <v>6337.5</v>
      </c>
      <c r="I1490" s="376"/>
    </row>
    <row r="1491" spans="2:9">
      <c r="C1491" s="72" t="s">
        <v>744</v>
      </c>
      <c r="D1491" s="73" t="s">
        <v>748</v>
      </c>
      <c r="E1491" s="74">
        <v>100</v>
      </c>
      <c r="F1491" s="160">
        <v>0.625</v>
      </c>
      <c r="G1491" s="164">
        <f t="shared" si="27"/>
        <v>62.5</v>
      </c>
      <c r="H1491" s="164">
        <f>G1491*I7</f>
        <v>5281.25</v>
      </c>
      <c r="I1491" s="376"/>
    </row>
    <row r="1492" spans="2:9">
      <c r="C1492" s="72" t="s">
        <v>745</v>
      </c>
      <c r="D1492" s="73" t="s">
        <v>746</v>
      </c>
      <c r="E1492" s="74">
        <f>E1486</f>
        <v>12</v>
      </c>
      <c r="F1492" s="160">
        <v>62.5</v>
      </c>
      <c r="G1492" s="164">
        <f t="shared" si="27"/>
        <v>750</v>
      </c>
      <c r="H1492" s="164">
        <f>G1492*I7</f>
        <v>63375</v>
      </c>
      <c r="I1492" s="376"/>
    </row>
    <row r="1493" spans="2:9" s="79" customFormat="1">
      <c r="C1493" s="216" t="s">
        <v>867</v>
      </c>
      <c r="D1493" s="82"/>
      <c r="E1493" s="82"/>
      <c r="F1493" s="241"/>
      <c r="G1493" s="164">
        <f>SUM(G1486:G1492)*25%</f>
        <v>1759.375</v>
      </c>
      <c r="H1493" s="164">
        <f>G1493*I7</f>
        <v>148667.1875</v>
      </c>
      <c r="I1493" s="445"/>
    </row>
    <row r="1494" spans="2:9">
      <c r="C1494" s="77" t="s">
        <v>897</v>
      </c>
      <c r="D1494" s="82"/>
      <c r="E1494" s="82"/>
      <c r="F1494" s="82"/>
      <c r="G1494" s="267">
        <f>(SUM(G1486:G1493)/100)*1.05</f>
        <v>92.3671875</v>
      </c>
      <c r="H1494" s="267">
        <f>G1494*I7</f>
        <v>7805.02734375</v>
      </c>
      <c r="I1494" s="376"/>
    </row>
    <row r="1495" spans="2:9" ht="15.75" thickBot="1">
      <c r="C1495" s="730" t="s">
        <v>1031</v>
      </c>
      <c r="D1495" s="731"/>
      <c r="E1495" s="731"/>
      <c r="F1495" s="731"/>
      <c r="G1495" s="731"/>
      <c r="H1495" s="434"/>
      <c r="I1495" s="432"/>
    </row>
    <row r="1496" spans="2:9">
      <c r="F1496" s="133"/>
    </row>
    <row r="1497" spans="2:9" ht="15.75" thickBot="1">
      <c r="F1497" s="133"/>
    </row>
    <row r="1498" spans="2:9" ht="15" customHeight="1">
      <c r="B1498" s="79" t="str">
        <f>'Costed Impl plan'!B191</f>
        <v>3.8.1.2</v>
      </c>
      <c r="C1498" s="704" t="str">
        <f>'Costed Impl plan'!C191</f>
        <v xml:space="preserve">Support mentoring / technical assistance for CBOs and network organisations </v>
      </c>
      <c r="D1498" s="705"/>
      <c r="E1498" s="705"/>
      <c r="F1498" s="705"/>
      <c r="G1498" s="705"/>
      <c r="H1498" s="713"/>
      <c r="I1498" s="706"/>
    </row>
    <row r="1499" spans="2:9" ht="13.5" customHeight="1">
      <c r="C1499" s="728" t="s">
        <v>621</v>
      </c>
      <c r="D1499" s="729"/>
      <c r="E1499" s="729"/>
      <c r="F1499" s="729"/>
      <c r="G1499" s="729"/>
      <c r="H1499" s="324"/>
      <c r="I1499" s="376"/>
    </row>
    <row r="1500" spans="2:9" ht="15.75" thickBot="1">
      <c r="C1500" s="92" t="s">
        <v>817</v>
      </c>
      <c r="D1500" s="153"/>
      <c r="E1500" s="153"/>
      <c r="F1500" s="153"/>
      <c r="G1500" s="227">
        <v>0</v>
      </c>
      <c r="H1500" s="305">
        <f>G1500*I7</f>
        <v>0</v>
      </c>
      <c r="I1500" s="432"/>
    </row>
    <row r="1501" spans="2:9" ht="15" customHeight="1" thickBot="1">
      <c r="C1501" s="710" t="s">
        <v>1031</v>
      </c>
      <c r="D1501" s="711"/>
      <c r="E1501" s="711"/>
      <c r="F1501" s="711"/>
      <c r="G1501" s="711"/>
      <c r="H1501" s="711"/>
      <c r="I1501" s="712"/>
    </row>
    <row r="1504" spans="2:9" ht="15.75" thickBot="1"/>
    <row r="1505" spans="2:9" ht="15" customHeight="1">
      <c r="B1505" s="79" t="str">
        <f>'Costed Impl plan'!B192</f>
        <v>3.8.2</v>
      </c>
      <c r="C1505" s="704" t="str">
        <f>'Costed Impl plan'!C192</f>
        <v>Strengthen linkages between CBOs through cross learning visits</v>
      </c>
      <c r="D1505" s="705"/>
      <c r="E1505" s="705"/>
      <c r="F1505" s="705"/>
      <c r="G1505" s="705"/>
      <c r="H1505" s="713"/>
      <c r="I1505" s="706"/>
    </row>
    <row r="1506" spans="2:9" ht="30">
      <c r="C1506" s="131" t="s">
        <v>452</v>
      </c>
      <c r="D1506" s="113" t="s">
        <v>703</v>
      </c>
      <c r="E1506" s="113" t="s">
        <v>453</v>
      </c>
      <c r="F1506" s="113" t="s">
        <v>935</v>
      </c>
      <c r="G1506" s="270" t="s">
        <v>932</v>
      </c>
      <c r="H1506" s="270" t="s">
        <v>933</v>
      </c>
      <c r="I1506" s="375" t="s">
        <v>651</v>
      </c>
    </row>
    <row r="1507" spans="2:9">
      <c r="C1507" s="72" t="s">
        <v>818</v>
      </c>
      <c r="D1507" s="73" t="s">
        <v>819</v>
      </c>
      <c r="E1507" s="74">
        <v>648</v>
      </c>
      <c r="F1507" s="160">
        <v>3.125</v>
      </c>
      <c r="G1507" s="164">
        <f>E1507*F1507</f>
        <v>2025</v>
      </c>
      <c r="H1507" s="300">
        <f>G1507*I7</f>
        <v>171112.5</v>
      </c>
      <c r="I1507" s="376"/>
    </row>
    <row r="1508" spans="2:9">
      <c r="C1508" s="72" t="s">
        <v>713</v>
      </c>
      <c r="D1508" s="73" t="s">
        <v>819</v>
      </c>
      <c r="E1508" s="74">
        <v>432</v>
      </c>
      <c r="F1508" s="160">
        <v>15</v>
      </c>
      <c r="G1508" s="164">
        <f>E1508*F1508</f>
        <v>6480</v>
      </c>
      <c r="H1508" s="300">
        <f>G1508*I7</f>
        <v>547560</v>
      </c>
      <c r="I1508" s="376"/>
    </row>
    <row r="1509" spans="2:9">
      <c r="C1509" s="72" t="s">
        <v>742</v>
      </c>
      <c r="D1509" s="73" t="s">
        <v>819</v>
      </c>
      <c r="E1509" s="74">
        <v>864</v>
      </c>
      <c r="F1509" s="160">
        <v>11.25</v>
      </c>
      <c r="G1509" s="164">
        <f>E1509*F1509</f>
        <v>9720</v>
      </c>
      <c r="H1509" s="300">
        <f>G1509*I7</f>
        <v>821340</v>
      </c>
      <c r="I1509" s="376"/>
    </row>
    <row r="1510" spans="2:9" s="79" customFormat="1">
      <c r="C1510" s="216" t="s">
        <v>867</v>
      </c>
      <c r="D1510" s="82"/>
      <c r="E1510" s="82"/>
      <c r="F1510" s="241"/>
      <c r="G1510" s="164">
        <f>SUM(G1507:G1509)*25%</f>
        <v>4556.25</v>
      </c>
      <c r="H1510" s="300">
        <f>G1510*I7</f>
        <v>385003.125</v>
      </c>
      <c r="I1510" s="376" t="s">
        <v>820</v>
      </c>
    </row>
    <row r="1511" spans="2:9">
      <c r="C1511" s="77" t="s">
        <v>925</v>
      </c>
      <c r="D1511" s="82"/>
      <c r="E1511" s="74"/>
      <c r="F1511" s="74"/>
      <c r="G1511" s="267">
        <f>(SUM(G1507:G1510)/72)*1.05</f>
        <v>332.2265625</v>
      </c>
      <c r="H1511" s="299">
        <f>G1511*I7</f>
        <v>28073.14453125</v>
      </c>
      <c r="I1511" s="376"/>
    </row>
    <row r="1512" spans="2:9" ht="21" customHeight="1" thickBot="1">
      <c r="C1512" s="710" t="s">
        <v>1031</v>
      </c>
      <c r="D1512" s="711"/>
      <c r="E1512" s="711"/>
      <c r="F1512" s="711"/>
      <c r="G1512" s="711"/>
      <c r="H1512" s="711"/>
      <c r="I1512" s="712"/>
    </row>
    <row r="1515" spans="2:9">
      <c r="B1515" s="79" t="str">
        <f>'Costed Impl plan'!B193</f>
        <v>3.8.3</v>
      </c>
      <c r="C1515" s="79" t="str">
        <f>'Costed Impl plan'!C193</f>
        <v xml:space="preserve">Build sustainability of community system involvement </v>
      </c>
      <c r="D1515" s="95"/>
    </row>
    <row r="1516" spans="2:9" ht="15.75" thickBot="1"/>
    <row r="1517" spans="2:9" ht="27.75" customHeight="1">
      <c r="B1517" s="79" t="str">
        <f>'Costed Impl plan'!B194</f>
        <v>3.8.3.1</v>
      </c>
      <c r="C1517" s="704" t="str">
        <f>'Costed Impl plan'!C194</f>
        <v>Provide financial support for core infrastructure of  CBOs to contribute to resource mobilisation and representation functions</v>
      </c>
      <c r="D1517" s="705"/>
      <c r="E1517" s="705"/>
      <c r="F1517" s="705"/>
      <c r="G1517" s="705"/>
      <c r="H1517" s="713"/>
      <c r="I1517" s="706"/>
    </row>
    <row r="1518" spans="2:9" ht="30">
      <c r="C1518" s="131" t="s">
        <v>452</v>
      </c>
      <c r="D1518" s="113" t="s">
        <v>703</v>
      </c>
      <c r="E1518" s="113" t="s">
        <v>453</v>
      </c>
      <c r="F1518" s="113" t="s">
        <v>935</v>
      </c>
      <c r="G1518" s="270" t="s">
        <v>932</v>
      </c>
      <c r="H1518" s="270" t="s">
        <v>933</v>
      </c>
      <c r="I1518" s="375" t="s">
        <v>651</v>
      </c>
    </row>
    <row r="1519" spans="2:9">
      <c r="C1519" s="72" t="s">
        <v>622</v>
      </c>
      <c r="D1519" s="74"/>
      <c r="E1519" s="74"/>
      <c r="F1519" s="74"/>
      <c r="G1519" s="164"/>
      <c r="H1519" s="300"/>
      <c r="I1519" s="376"/>
    </row>
    <row r="1520" spans="2:9">
      <c r="C1520" s="72" t="s">
        <v>821</v>
      </c>
      <c r="D1520" s="73" t="s">
        <v>822</v>
      </c>
      <c r="E1520" s="74">
        <v>12</v>
      </c>
      <c r="F1520" s="160">
        <v>50</v>
      </c>
      <c r="G1520" s="164">
        <f>E1520*F1520</f>
        <v>600</v>
      </c>
      <c r="H1520" s="300">
        <f>G1520*I7</f>
        <v>50700</v>
      </c>
      <c r="I1520" s="376"/>
    </row>
    <row r="1521" spans="2:9">
      <c r="C1521" s="72" t="s">
        <v>823</v>
      </c>
      <c r="D1521" s="73" t="s">
        <v>696</v>
      </c>
      <c r="E1521" s="74">
        <v>12</v>
      </c>
      <c r="F1521" s="160">
        <v>52.5</v>
      </c>
      <c r="G1521" s="164">
        <f>E1521*F1521</f>
        <v>630</v>
      </c>
      <c r="H1521" s="300">
        <f>G1521*I7</f>
        <v>53235</v>
      </c>
      <c r="I1521" s="376"/>
    </row>
    <row r="1522" spans="2:9">
      <c r="C1522" s="72" t="s">
        <v>824</v>
      </c>
      <c r="D1522" s="73" t="s">
        <v>696</v>
      </c>
      <c r="E1522" s="74">
        <v>12</v>
      </c>
      <c r="F1522" s="160">
        <v>8.75</v>
      </c>
      <c r="G1522" s="164">
        <f>E1522*F1522</f>
        <v>105</v>
      </c>
      <c r="H1522" s="300">
        <f>G1522*I7</f>
        <v>8872.5</v>
      </c>
      <c r="I1522" s="376"/>
    </row>
    <row r="1523" spans="2:9">
      <c r="C1523" s="72" t="s">
        <v>825</v>
      </c>
      <c r="D1523" s="73" t="s">
        <v>696</v>
      </c>
      <c r="E1523" s="74">
        <v>12</v>
      </c>
      <c r="F1523" s="160">
        <v>8.75</v>
      </c>
      <c r="G1523" s="164">
        <f>E1523*F1523</f>
        <v>105</v>
      </c>
      <c r="H1523" s="300">
        <f>G1523*I7</f>
        <v>8872.5</v>
      </c>
      <c r="I1523" s="376"/>
    </row>
    <row r="1524" spans="2:9" s="79" customFormat="1">
      <c r="C1524" s="216" t="s">
        <v>867</v>
      </c>
      <c r="D1524" s="82"/>
      <c r="E1524" s="82"/>
      <c r="F1524" s="241"/>
      <c r="G1524" s="164">
        <f>SUM(G1520:G1523)*25%</f>
        <v>360</v>
      </c>
      <c r="H1524" s="300">
        <f>G1524*I7</f>
        <v>30420</v>
      </c>
      <c r="I1524" s="445"/>
    </row>
    <row r="1525" spans="2:9" s="79" customFormat="1">
      <c r="C1525" s="77" t="s">
        <v>826</v>
      </c>
      <c r="D1525" s="82"/>
      <c r="E1525" s="82"/>
      <c r="F1525" s="241"/>
      <c r="G1525" s="267">
        <f>SUM(G1520:G1524)*1.05</f>
        <v>1890</v>
      </c>
      <c r="H1525" s="299">
        <f>G1525*I7</f>
        <v>159705</v>
      </c>
      <c r="I1525" s="445"/>
    </row>
    <row r="1526" spans="2:9" ht="15.75" customHeight="1" thickBot="1">
      <c r="C1526" s="710" t="s">
        <v>1031</v>
      </c>
      <c r="D1526" s="711"/>
      <c r="E1526" s="711"/>
      <c r="F1526" s="711"/>
      <c r="G1526" s="711"/>
      <c r="H1526" s="711"/>
      <c r="I1526" s="712"/>
    </row>
    <row r="1528" spans="2:9" ht="15.75" thickBot="1"/>
    <row r="1529" spans="2:9">
      <c r="B1529" s="79" t="str">
        <f>'Costed Impl plan'!B195</f>
        <v>3.8.3.2</v>
      </c>
      <c r="C1529" s="704" t="str">
        <f>'Costed Impl plan'!C195</f>
        <v>Provide management training for CBOs</v>
      </c>
      <c r="D1529" s="705"/>
      <c r="E1529" s="705"/>
      <c r="F1529" s="705"/>
      <c r="G1529" s="705"/>
      <c r="H1529" s="705"/>
      <c r="I1529" s="706"/>
    </row>
    <row r="1530" spans="2:9">
      <c r="C1530" s="72" t="s">
        <v>623</v>
      </c>
      <c r="D1530" s="74"/>
      <c r="E1530" s="74"/>
      <c r="F1530" s="74"/>
      <c r="G1530" s="164"/>
      <c r="H1530" s="164"/>
      <c r="I1530" s="376"/>
    </row>
    <row r="1531" spans="2:9" ht="30">
      <c r="C1531" s="131" t="s">
        <v>452</v>
      </c>
      <c r="D1531" s="113" t="s">
        <v>703</v>
      </c>
      <c r="E1531" s="113" t="s">
        <v>453</v>
      </c>
      <c r="F1531" s="113" t="s">
        <v>935</v>
      </c>
      <c r="G1531" s="270" t="s">
        <v>932</v>
      </c>
      <c r="H1531" s="270" t="s">
        <v>933</v>
      </c>
      <c r="I1531" s="375" t="s">
        <v>651</v>
      </c>
    </row>
    <row r="1532" spans="2:9">
      <c r="C1532" s="72" t="s">
        <v>740</v>
      </c>
      <c r="D1532" s="73" t="s">
        <v>746</v>
      </c>
      <c r="E1532" s="74">
        <v>3</v>
      </c>
      <c r="F1532" s="160">
        <v>43.75</v>
      </c>
      <c r="G1532" s="164">
        <f>E1532*F1532</f>
        <v>131.25</v>
      </c>
      <c r="H1532" s="164">
        <f>G1532*I7</f>
        <v>11090.625</v>
      </c>
      <c r="I1532" s="715" t="s">
        <v>905</v>
      </c>
    </row>
    <row r="1533" spans="2:9">
      <c r="C1533" s="72" t="s">
        <v>741</v>
      </c>
      <c r="D1533" s="73" t="s">
        <v>747</v>
      </c>
      <c r="E1533" s="74">
        <f>25*3.5</f>
        <v>87.5</v>
      </c>
      <c r="F1533" s="160">
        <v>3.125</v>
      </c>
      <c r="G1533" s="164">
        <f t="shared" ref="G1533:G1538" si="28">E1533*F1533</f>
        <v>273.4375</v>
      </c>
      <c r="H1533" s="164">
        <f>G1533*I7</f>
        <v>23105.46875</v>
      </c>
      <c r="I1533" s="716"/>
    </row>
    <row r="1534" spans="2:9">
      <c r="C1534" s="72" t="s">
        <v>742</v>
      </c>
      <c r="D1534" s="73" t="s">
        <v>747</v>
      </c>
      <c r="E1534" s="74">
        <f>25*1.5</f>
        <v>37.5</v>
      </c>
      <c r="F1534" s="160">
        <v>18.75</v>
      </c>
      <c r="G1534" s="164">
        <f t="shared" si="28"/>
        <v>703.125</v>
      </c>
      <c r="H1534" s="164">
        <f>G1534*I7</f>
        <v>59414.0625</v>
      </c>
      <c r="I1534" s="716"/>
    </row>
    <row r="1535" spans="2:9">
      <c r="C1535" s="72" t="s">
        <v>713</v>
      </c>
      <c r="D1535" s="73" t="s">
        <v>748</v>
      </c>
      <c r="E1535" s="74">
        <v>25</v>
      </c>
      <c r="F1535" s="160">
        <v>18.75</v>
      </c>
      <c r="G1535" s="164">
        <f t="shared" si="28"/>
        <v>468.75</v>
      </c>
      <c r="H1535" s="164">
        <f>G1535*I7</f>
        <v>39609.375</v>
      </c>
      <c r="I1535" s="716"/>
    </row>
    <row r="1536" spans="2:9">
      <c r="C1536" s="72" t="s">
        <v>743</v>
      </c>
      <c r="D1536" s="73" t="s">
        <v>748</v>
      </c>
      <c r="E1536" s="74">
        <v>25</v>
      </c>
      <c r="F1536" s="160">
        <v>0.75</v>
      </c>
      <c r="G1536" s="164">
        <f t="shared" si="28"/>
        <v>18.75</v>
      </c>
      <c r="H1536" s="164">
        <f>G1536*I7</f>
        <v>1584.375</v>
      </c>
      <c r="I1536" s="716"/>
    </row>
    <row r="1537" spans="2:9">
      <c r="C1537" s="72" t="s">
        <v>744</v>
      </c>
      <c r="D1537" s="73" t="s">
        <v>748</v>
      </c>
      <c r="E1537" s="74">
        <v>25</v>
      </c>
      <c r="F1537" s="160">
        <v>0.625</v>
      </c>
      <c r="G1537" s="164">
        <f t="shared" si="28"/>
        <v>15.625</v>
      </c>
      <c r="H1537" s="164">
        <f>G1537*I7</f>
        <v>1320.3125</v>
      </c>
      <c r="I1537" s="716"/>
    </row>
    <row r="1538" spans="2:9">
      <c r="C1538" s="72" t="s">
        <v>745</v>
      </c>
      <c r="D1538" s="73" t="s">
        <v>746</v>
      </c>
      <c r="E1538" s="74">
        <f>E1532</f>
        <v>3</v>
      </c>
      <c r="F1538" s="160">
        <v>62.5</v>
      </c>
      <c r="G1538" s="164">
        <f t="shared" si="28"/>
        <v>187.5</v>
      </c>
      <c r="H1538" s="164">
        <f>G1538*I7</f>
        <v>15843.75</v>
      </c>
      <c r="I1538" s="717"/>
    </row>
    <row r="1539" spans="2:9" s="79" customFormat="1">
      <c r="C1539" s="216" t="s">
        <v>867</v>
      </c>
      <c r="D1539" s="82"/>
      <c r="E1539" s="82"/>
      <c r="F1539" s="241"/>
      <c r="G1539" s="164">
        <f>SUM(G1532:G1538)*25%</f>
        <v>449.609375</v>
      </c>
      <c r="H1539" s="164">
        <f>G1539*I7</f>
        <v>37991.9921875</v>
      </c>
      <c r="I1539" s="445"/>
    </row>
    <row r="1540" spans="2:9" s="79" customFormat="1">
      <c r="C1540" s="77" t="s">
        <v>907</v>
      </c>
      <c r="D1540" s="82"/>
      <c r="E1540" s="82"/>
      <c r="F1540" s="241"/>
      <c r="G1540" s="267">
        <f>SUM(G1532:G1539)*1.05</f>
        <v>2360.44921875</v>
      </c>
      <c r="H1540" s="267">
        <f>G1540*I7</f>
        <v>199457.958984375</v>
      </c>
      <c r="I1540" s="445"/>
    </row>
    <row r="1541" spans="2:9" s="79" customFormat="1">
      <c r="C1541" s="77" t="s">
        <v>908</v>
      </c>
      <c r="D1541" s="82"/>
      <c r="E1541" s="82"/>
      <c r="F1541" s="224"/>
      <c r="G1541" s="267">
        <f>G1540*4</f>
        <v>9441.796875</v>
      </c>
      <c r="H1541" s="267">
        <f>G1541*I7</f>
        <v>797831.8359375</v>
      </c>
      <c r="I1541" s="377"/>
    </row>
    <row r="1542" spans="2:9">
      <c r="C1542" s="77" t="s">
        <v>620</v>
      </c>
      <c r="D1542" s="82"/>
      <c r="E1542" s="82"/>
      <c r="F1542" s="82"/>
      <c r="G1542" s="267">
        <f>G1541/100</f>
        <v>94.41796875</v>
      </c>
      <c r="H1542" s="267">
        <f>G1542*I7</f>
        <v>7978.318359375</v>
      </c>
      <c r="I1542" s="376"/>
    </row>
    <row r="1543" spans="2:9" ht="15.75" thickBot="1">
      <c r="C1543" s="730" t="s">
        <v>1031</v>
      </c>
      <c r="D1543" s="731"/>
      <c r="E1543" s="731"/>
      <c r="F1543" s="731"/>
      <c r="G1543" s="731"/>
      <c r="H1543" s="434"/>
      <c r="I1543" s="432"/>
    </row>
    <row r="1545" spans="2:9" ht="15.75" thickBot="1"/>
    <row r="1546" spans="2:9">
      <c r="B1546" s="79" t="str">
        <f>'Costed Impl plan'!B196</f>
        <v>3.8.4</v>
      </c>
      <c r="C1546" s="704" t="str">
        <f>'Costed Impl plan'!C196</f>
        <v>Provide M&amp;E training for CBOs</v>
      </c>
      <c r="D1546" s="705"/>
      <c r="E1546" s="705"/>
      <c r="F1546" s="705"/>
      <c r="G1546" s="705"/>
      <c r="H1546" s="705"/>
      <c r="I1546" s="706"/>
    </row>
    <row r="1547" spans="2:9">
      <c r="C1547" s="72" t="s">
        <v>623</v>
      </c>
      <c r="D1547" s="74"/>
      <c r="E1547" s="74"/>
      <c r="F1547" s="74"/>
      <c r="G1547" s="164"/>
      <c r="H1547" s="164"/>
      <c r="I1547" s="376"/>
    </row>
    <row r="1548" spans="2:9" ht="30">
      <c r="C1548" s="131" t="s">
        <v>452</v>
      </c>
      <c r="D1548" s="113" t="s">
        <v>703</v>
      </c>
      <c r="E1548" s="113" t="s">
        <v>453</v>
      </c>
      <c r="F1548" s="113" t="s">
        <v>935</v>
      </c>
      <c r="G1548" s="270" t="s">
        <v>932</v>
      </c>
      <c r="H1548" s="270" t="s">
        <v>933</v>
      </c>
      <c r="I1548" s="375" t="s">
        <v>651</v>
      </c>
    </row>
    <row r="1549" spans="2:9">
      <c r="C1549" s="72" t="s">
        <v>740</v>
      </c>
      <c r="D1549" s="73" t="s">
        <v>746</v>
      </c>
      <c r="E1549" s="74">
        <v>3</v>
      </c>
      <c r="F1549" s="160">
        <v>15</v>
      </c>
      <c r="G1549" s="164">
        <f>E1549*F1549</f>
        <v>45</v>
      </c>
      <c r="H1549" s="164">
        <f>G1549*I7</f>
        <v>3802.5</v>
      </c>
      <c r="I1549" s="715" t="s">
        <v>905</v>
      </c>
    </row>
    <row r="1550" spans="2:9">
      <c r="C1550" s="72" t="s">
        <v>741</v>
      </c>
      <c r="D1550" s="73" t="s">
        <v>747</v>
      </c>
      <c r="E1550" s="74">
        <f>25*3.5</f>
        <v>87.5</v>
      </c>
      <c r="F1550" s="160">
        <v>3.125</v>
      </c>
      <c r="G1550" s="164">
        <f t="shared" ref="G1550:G1555" si="29">E1550*F1550</f>
        <v>273.4375</v>
      </c>
      <c r="H1550" s="164">
        <f>G1550*I7</f>
        <v>23105.46875</v>
      </c>
      <c r="I1550" s="716"/>
    </row>
    <row r="1551" spans="2:9">
      <c r="C1551" s="72" t="s">
        <v>742</v>
      </c>
      <c r="D1551" s="73" t="s">
        <v>747</v>
      </c>
      <c r="E1551" s="74">
        <f>25*1.5</f>
        <v>37.5</v>
      </c>
      <c r="F1551" s="160">
        <v>18.75</v>
      </c>
      <c r="G1551" s="164">
        <f t="shared" si="29"/>
        <v>703.125</v>
      </c>
      <c r="H1551" s="164">
        <f>G1551*I7</f>
        <v>59414.0625</v>
      </c>
      <c r="I1551" s="716"/>
    </row>
    <row r="1552" spans="2:9">
      <c r="C1552" s="72" t="s">
        <v>713</v>
      </c>
      <c r="D1552" s="73" t="s">
        <v>748</v>
      </c>
      <c r="E1552" s="74">
        <v>25</v>
      </c>
      <c r="F1552" s="160">
        <v>18.75</v>
      </c>
      <c r="G1552" s="164">
        <f t="shared" si="29"/>
        <v>468.75</v>
      </c>
      <c r="H1552" s="164">
        <f>G1552*I7</f>
        <v>39609.375</v>
      </c>
      <c r="I1552" s="716"/>
    </row>
    <row r="1553" spans="2:9">
      <c r="C1553" s="72" t="s">
        <v>743</v>
      </c>
      <c r="D1553" s="73" t="s">
        <v>748</v>
      </c>
      <c r="E1553" s="74">
        <v>25</v>
      </c>
      <c r="F1553" s="160">
        <v>0.75</v>
      </c>
      <c r="G1553" s="164">
        <f t="shared" si="29"/>
        <v>18.75</v>
      </c>
      <c r="H1553" s="164">
        <f>G1553*I7</f>
        <v>1584.375</v>
      </c>
      <c r="I1553" s="716"/>
    </row>
    <row r="1554" spans="2:9">
      <c r="C1554" s="72" t="s">
        <v>744</v>
      </c>
      <c r="D1554" s="73" t="s">
        <v>748</v>
      </c>
      <c r="E1554" s="74">
        <v>25</v>
      </c>
      <c r="F1554" s="160">
        <v>0.625</v>
      </c>
      <c r="G1554" s="164">
        <f t="shared" si="29"/>
        <v>15.625</v>
      </c>
      <c r="H1554" s="164">
        <f>G1554*I7</f>
        <v>1320.3125</v>
      </c>
      <c r="I1554" s="716"/>
    </row>
    <row r="1555" spans="2:9">
      <c r="C1555" s="72" t="s">
        <v>745</v>
      </c>
      <c r="D1555" s="73" t="s">
        <v>746</v>
      </c>
      <c r="E1555" s="74">
        <f>E1549</f>
        <v>3</v>
      </c>
      <c r="F1555" s="160">
        <v>62.5</v>
      </c>
      <c r="G1555" s="164">
        <f t="shared" si="29"/>
        <v>187.5</v>
      </c>
      <c r="H1555" s="164">
        <f>G1555*I7</f>
        <v>15843.75</v>
      </c>
      <c r="I1555" s="717"/>
    </row>
    <row r="1556" spans="2:9" s="79" customFormat="1">
      <c r="C1556" s="216" t="s">
        <v>867</v>
      </c>
      <c r="D1556" s="82"/>
      <c r="E1556" s="82"/>
      <c r="F1556" s="241"/>
      <c r="G1556" s="164">
        <f>SUM(G1549:G1555)*25%</f>
        <v>428.046875</v>
      </c>
      <c r="H1556" s="164">
        <f>G1556*I7</f>
        <v>36169.9609375</v>
      </c>
      <c r="I1556" s="445"/>
    </row>
    <row r="1557" spans="2:9" s="79" customFormat="1">
      <c r="C1557" s="77" t="s">
        <v>907</v>
      </c>
      <c r="D1557" s="82"/>
      <c r="E1557" s="82"/>
      <c r="F1557" s="241"/>
      <c r="G1557" s="267">
        <f>SUM(G1549:G1556)*1.05</f>
        <v>2247.24609375</v>
      </c>
      <c r="H1557" s="267">
        <f>G1557*I7</f>
        <v>189892.294921875</v>
      </c>
      <c r="I1557" s="445"/>
    </row>
    <row r="1558" spans="2:9" s="79" customFormat="1">
      <c r="C1558" s="77" t="s">
        <v>908</v>
      </c>
      <c r="D1558" s="82"/>
      <c r="E1558" s="82"/>
      <c r="F1558" s="241"/>
      <c r="G1558" s="267">
        <f>G1557*4</f>
        <v>8988.984375</v>
      </c>
      <c r="H1558" s="267">
        <f>G1558*I7</f>
        <v>759569.1796875</v>
      </c>
      <c r="I1558" s="445"/>
    </row>
    <row r="1559" spans="2:9">
      <c r="C1559" s="77" t="s">
        <v>506</v>
      </c>
      <c r="D1559" s="82"/>
      <c r="E1559" s="82"/>
      <c r="F1559" s="82"/>
      <c r="G1559" s="267">
        <f>G1558/100</f>
        <v>89.889843749999997</v>
      </c>
      <c r="H1559" s="267">
        <f>G1559*I7</f>
        <v>7595.6917968749995</v>
      </c>
      <c r="I1559" s="376"/>
    </row>
    <row r="1560" spans="2:9" ht="15" customHeight="1" thickBot="1">
      <c r="C1560" s="710" t="s">
        <v>1031</v>
      </c>
      <c r="D1560" s="711"/>
      <c r="E1560" s="711"/>
      <c r="F1560" s="711"/>
      <c r="G1560" s="711"/>
      <c r="H1560" s="711"/>
      <c r="I1560" s="712"/>
    </row>
    <row r="1562" spans="2:9" ht="15.75" thickBot="1"/>
    <row r="1563" spans="2:9" ht="15" customHeight="1">
      <c r="B1563" s="79" t="str">
        <f>'Costed Impl plan'!B197</f>
        <v>3.8.4.1</v>
      </c>
      <c r="C1563" s="704" t="str">
        <f>'Costed Impl plan'!C197</f>
        <v>Provide leadership and accountability training for CBOs</v>
      </c>
      <c r="D1563" s="705"/>
      <c r="E1563" s="705"/>
      <c r="F1563" s="705"/>
      <c r="G1563" s="705"/>
      <c r="H1563" s="705"/>
      <c r="I1563" s="706"/>
    </row>
    <row r="1564" spans="2:9">
      <c r="C1564" s="72" t="s">
        <v>619</v>
      </c>
      <c r="D1564" s="74"/>
      <c r="E1564" s="74"/>
      <c r="F1564" s="74"/>
      <c r="G1564" s="164"/>
      <c r="H1564" s="164"/>
      <c r="I1564" s="376"/>
    </row>
    <row r="1565" spans="2:9" ht="30">
      <c r="C1565" s="131" t="s">
        <v>452</v>
      </c>
      <c r="D1565" s="113" t="s">
        <v>703</v>
      </c>
      <c r="E1565" s="113" t="s">
        <v>453</v>
      </c>
      <c r="F1565" s="113" t="s">
        <v>935</v>
      </c>
      <c r="G1565" s="270" t="s">
        <v>932</v>
      </c>
      <c r="H1565" s="270" t="s">
        <v>933</v>
      </c>
      <c r="I1565" s="375" t="s">
        <v>651</v>
      </c>
    </row>
    <row r="1566" spans="2:9">
      <c r="C1566" s="72" t="s">
        <v>740</v>
      </c>
      <c r="D1566" s="73" t="s">
        <v>746</v>
      </c>
      <c r="E1566" s="74">
        <v>2</v>
      </c>
      <c r="F1566" s="160">
        <v>20</v>
      </c>
      <c r="G1566" s="164">
        <f>E1566*F1566</f>
        <v>40</v>
      </c>
      <c r="H1566" s="164">
        <f>G1566*I7</f>
        <v>3380</v>
      </c>
      <c r="I1566" s="715" t="s">
        <v>906</v>
      </c>
    </row>
    <row r="1567" spans="2:9">
      <c r="C1567" s="72" t="s">
        <v>741</v>
      </c>
      <c r="D1567" s="73" t="s">
        <v>747</v>
      </c>
      <c r="E1567" s="74">
        <f>25*2.5</f>
        <v>62.5</v>
      </c>
      <c r="F1567" s="160">
        <v>3.125</v>
      </c>
      <c r="G1567" s="164">
        <f t="shared" ref="G1567:G1572" si="30">E1567*F1567</f>
        <v>195.3125</v>
      </c>
      <c r="H1567" s="164">
        <f>G1567*I7</f>
        <v>16503.90625</v>
      </c>
      <c r="I1567" s="716"/>
    </row>
    <row r="1568" spans="2:9">
      <c r="C1568" s="72" t="s">
        <v>742</v>
      </c>
      <c r="D1568" s="73" t="s">
        <v>747</v>
      </c>
      <c r="E1568" s="74">
        <v>30</v>
      </c>
      <c r="F1568" s="160">
        <v>18.75</v>
      </c>
      <c r="G1568" s="164">
        <f t="shared" si="30"/>
        <v>562.5</v>
      </c>
      <c r="H1568" s="164">
        <f>G1568*I7</f>
        <v>47531.25</v>
      </c>
      <c r="I1568" s="716"/>
    </row>
    <row r="1569" spans="2:9">
      <c r="C1569" s="72" t="s">
        <v>713</v>
      </c>
      <c r="D1569" s="73" t="s">
        <v>748</v>
      </c>
      <c r="E1569" s="74">
        <v>25</v>
      </c>
      <c r="F1569" s="160">
        <v>18.75</v>
      </c>
      <c r="G1569" s="164">
        <f t="shared" si="30"/>
        <v>468.75</v>
      </c>
      <c r="H1569" s="164">
        <f>G1569*I7</f>
        <v>39609.375</v>
      </c>
      <c r="I1569" s="716"/>
    </row>
    <row r="1570" spans="2:9">
      <c r="C1570" s="72" t="s">
        <v>743</v>
      </c>
      <c r="D1570" s="73" t="s">
        <v>748</v>
      </c>
      <c r="E1570" s="74">
        <v>25</v>
      </c>
      <c r="F1570" s="160">
        <v>0.75</v>
      </c>
      <c r="G1570" s="164">
        <f t="shared" si="30"/>
        <v>18.75</v>
      </c>
      <c r="H1570" s="164">
        <f>G1570*I7</f>
        <v>1584.375</v>
      </c>
      <c r="I1570" s="716"/>
    </row>
    <row r="1571" spans="2:9">
      <c r="C1571" s="72" t="s">
        <v>744</v>
      </c>
      <c r="D1571" s="73" t="s">
        <v>748</v>
      </c>
      <c r="E1571" s="74">
        <v>25</v>
      </c>
      <c r="F1571" s="160">
        <v>0.625</v>
      </c>
      <c r="G1571" s="164">
        <f t="shared" si="30"/>
        <v>15.625</v>
      </c>
      <c r="H1571" s="164">
        <f>G1571*I7</f>
        <v>1320.3125</v>
      </c>
      <c r="I1571" s="716"/>
    </row>
    <row r="1572" spans="2:9">
      <c r="C1572" s="72" t="s">
        <v>745</v>
      </c>
      <c r="D1572" s="73" t="s">
        <v>746</v>
      </c>
      <c r="E1572" s="74">
        <f>E1566</f>
        <v>2</v>
      </c>
      <c r="F1572" s="160">
        <v>62.5</v>
      </c>
      <c r="G1572" s="164">
        <f t="shared" si="30"/>
        <v>125</v>
      </c>
      <c r="H1572" s="164">
        <f>G1572*I7</f>
        <v>10562.5</v>
      </c>
      <c r="I1572" s="717"/>
    </row>
    <row r="1573" spans="2:9" s="79" customFormat="1">
      <c r="C1573" s="216" t="s">
        <v>867</v>
      </c>
      <c r="D1573" s="82"/>
      <c r="E1573" s="82"/>
      <c r="F1573" s="224">
        <v>0.25</v>
      </c>
      <c r="G1573" s="164">
        <f>SUM(G1566:G1572)*25%</f>
        <v>356.484375</v>
      </c>
      <c r="H1573" s="164">
        <f>G1573*I7</f>
        <v>30122.9296875</v>
      </c>
      <c r="I1573" s="377"/>
    </row>
    <row r="1574" spans="2:9" s="79" customFormat="1">
      <c r="C1574" s="77" t="s">
        <v>907</v>
      </c>
      <c r="D1574" s="82"/>
      <c r="E1574" s="82"/>
      <c r="F1574" s="241"/>
      <c r="G1574" s="267">
        <f>SUM(G1566:G1573)*1.05</f>
        <v>1871.54296875</v>
      </c>
      <c r="H1574" s="267">
        <f>G1574*I7</f>
        <v>158145.380859375</v>
      </c>
      <c r="I1574" s="445"/>
    </row>
    <row r="1575" spans="2:9" s="79" customFormat="1">
      <c r="C1575" s="77" t="s">
        <v>908</v>
      </c>
      <c r="D1575" s="82"/>
      <c r="E1575" s="82"/>
      <c r="F1575" s="241"/>
      <c r="G1575" s="267">
        <f>G1574*4</f>
        <v>7486.171875</v>
      </c>
      <c r="H1575" s="267">
        <f>G1575*I7</f>
        <v>632581.5234375</v>
      </c>
      <c r="I1575" s="445"/>
    </row>
    <row r="1576" spans="2:9">
      <c r="C1576" s="219" t="s">
        <v>506</v>
      </c>
      <c r="D1576" s="220"/>
      <c r="E1576" s="220"/>
      <c r="F1576" s="220"/>
      <c r="G1576" s="240">
        <f>G1575/100</f>
        <v>74.861718749999994</v>
      </c>
      <c r="H1576" s="240">
        <f>G1576*I7</f>
        <v>6325.8152343749998</v>
      </c>
      <c r="I1576" s="376"/>
    </row>
    <row r="1577" spans="2:9" ht="15" customHeight="1" thickBot="1">
      <c r="C1577" s="710" t="s">
        <v>1031</v>
      </c>
      <c r="D1577" s="711"/>
      <c r="E1577" s="711"/>
      <c r="F1577" s="711"/>
      <c r="G1577" s="711"/>
      <c r="H1577" s="711"/>
      <c r="I1577" s="712"/>
    </row>
    <row r="1579" spans="2:9" ht="15.75" thickBot="1"/>
    <row r="1580" spans="2:9" ht="15" customHeight="1">
      <c r="B1580" s="79" t="str">
        <f>'Costed Impl plan'!B198</f>
        <v>3.8.4.2</v>
      </c>
      <c r="C1580" s="704" t="str">
        <f>'Costed Impl plan'!C198</f>
        <v>Develop standards for governance and management</v>
      </c>
      <c r="D1580" s="705"/>
      <c r="E1580" s="705"/>
      <c r="F1580" s="705"/>
      <c r="G1580" s="705"/>
      <c r="H1580" s="713"/>
      <c r="I1580" s="706"/>
    </row>
    <row r="1581" spans="2:9" ht="30">
      <c r="C1581" s="131" t="s">
        <v>452</v>
      </c>
      <c r="D1581" s="113" t="s">
        <v>703</v>
      </c>
      <c r="E1581" s="113" t="s">
        <v>453</v>
      </c>
      <c r="F1581" s="113" t="s">
        <v>935</v>
      </c>
      <c r="G1581" s="270" t="s">
        <v>932</v>
      </c>
      <c r="H1581" s="270" t="s">
        <v>933</v>
      </c>
      <c r="I1581" s="375" t="s">
        <v>651</v>
      </c>
    </row>
    <row r="1582" spans="2:9">
      <c r="C1582" s="72" t="s">
        <v>624</v>
      </c>
      <c r="D1582" s="74"/>
      <c r="E1582" s="74">
        <v>0</v>
      </c>
      <c r="F1582" s="74">
        <v>0</v>
      </c>
      <c r="G1582" s="164">
        <f>F1582*E1582</f>
        <v>0</v>
      </c>
      <c r="H1582" s="300">
        <f>G1582*I7</f>
        <v>0</v>
      </c>
      <c r="I1582" s="376"/>
    </row>
    <row r="1583" spans="2:9">
      <c r="C1583" s="72" t="s">
        <v>618</v>
      </c>
      <c r="D1583" s="74"/>
      <c r="E1583" s="74">
        <v>0</v>
      </c>
      <c r="F1583" s="74">
        <v>0</v>
      </c>
      <c r="G1583" s="164">
        <f>F1583*E1583</f>
        <v>0</v>
      </c>
      <c r="H1583" s="300">
        <f>G1583*I7</f>
        <v>0</v>
      </c>
      <c r="I1583" s="376"/>
    </row>
    <row r="1584" spans="2:9" s="171" customFormat="1">
      <c r="B1584" s="170"/>
      <c r="C1584" s="216" t="s">
        <v>867</v>
      </c>
      <c r="D1584" s="152"/>
      <c r="E1584" s="152"/>
      <c r="F1584" s="152"/>
      <c r="G1584" s="279">
        <f>SUM(G1582:G1583)*25%</f>
        <v>0</v>
      </c>
      <c r="H1584" s="312">
        <f>G1584*I7</f>
        <v>0</v>
      </c>
      <c r="I1584" s="388"/>
    </row>
    <row r="1585" spans="2:9" ht="15.75" thickBot="1">
      <c r="C1585" s="231" t="s">
        <v>898</v>
      </c>
      <c r="D1585" s="218"/>
      <c r="E1585" s="218"/>
      <c r="F1585" s="218"/>
      <c r="G1585" s="280">
        <f>SUM(G1582:G1584)</f>
        <v>0</v>
      </c>
      <c r="H1585" s="313">
        <f>G1585*I7</f>
        <v>0</v>
      </c>
      <c r="I1585" s="432"/>
    </row>
    <row r="1586" spans="2:9" ht="15.75" thickBot="1">
      <c r="C1586" s="710" t="s">
        <v>1031</v>
      </c>
      <c r="D1586" s="711"/>
      <c r="E1586" s="711"/>
      <c r="F1586" s="711"/>
      <c r="G1586" s="711"/>
      <c r="H1586" s="711"/>
      <c r="I1586" s="712"/>
    </row>
    <row r="1587" spans="2:9">
      <c r="C1587" s="584"/>
      <c r="D1587" s="584"/>
      <c r="E1587" s="584"/>
      <c r="F1587" s="584"/>
      <c r="G1587" s="584"/>
      <c r="H1587" s="584"/>
      <c r="I1587" s="584"/>
    </row>
    <row r="1588" spans="2:9" ht="15.75" thickBot="1"/>
    <row r="1589" spans="2:9" ht="15" customHeight="1">
      <c r="B1589" s="79" t="str">
        <f>'Costed Impl plan'!B199</f>
        <v>3.8.4.3</v>
      </c>
      <c r="C1589" s="732" t="str">
        <f>'Costed Impl plan'!C199</f>
        <v>Develop and use management capacity assessment tools</v>
      </c>
      <c r="D1589" s="733"/>
      <c r="E1589" s="733"/>
      <c r="F1589" s="733"/>
      <c r="G1589" s="733"/>
      <c r="H1589" s="733"/>
      <c r="I1589" s="734"/>
    </row>
    <row r="1590" spans="2:9" ht="30">
      <c r="C1590" s="131" t="s">
        <v>452</v>
      </c>
      <c r="D1590" s="113" t="s">
        <v>703</v>
      </c>
      <c r="E1590" s="113" t="s">
        <v>453</v>
      </c>
      <c r="F1590" s="113" t="s">
        <v>935</v>
      </c>
      <c r="G1590" s="270" t="s">
        <v>932</v>
      </c>
      <c r="H1590" s="270" t="s">
        <v>933</v>
      </c>
      <c r="I1590" s="375" t="s">
        <v>651</v>
      </c>
    </row>
    <row r="1591" spans="2:9">
      <c r="C1591" s="72" t="s">
        <v>624</v>
      </c>
      <c r="D1591" s="74"/>
      <c r="E1591" s="74">
        <v>30</v>
      </c>
      <c r="F1591" s="74">
        <v>200</v>
      </c>
      <c r="G1591" s="164">
        <f>F1591*E1591</f>
        <v>6000</v>
      </c>
      <c r="H1591" s="300">
        <f>G1591*I7</f>
        <v>507000</v>
      </c>
      <c r="I1591" s="376"/>
    </row>
    <row r="1592" spans="2:9">
      <c r="C1592" s="72" t="s">
        <v>618</v>
      </c>
      <c r="D1592" s="74"/>
      <c r="E1592" s="74">
        <v>500</v>
      </c>
      <c r="F1592" s="74">
        <v>7.5</v>
      </c>
      <c r="G1592" s="164">
        <f>F1592*E1592</f>
        <v>3750</v>
      </c>
      <c r="H1592" s="300">
        <f>G1592*I7</f>
        <v>316875</v>
      </c>
      <c r="I1592" s="376"/>
    </row>
    <row r="1593" spans="2:9">
      <c r="C1593" s="216" t="s">
        <v>867</v>
      </c>
      <c r="D1593" s="152"/>
      <c r="E1593" s="152"/>
      <c r="F1593" s="152"/>
      <c r="G1593" s="206">
        <f>SUM(G1591:G1592)*25%</f>
        <v>2437.5</v>
      </c>
      <c r="H1593" s="301">
        <f>G1593*I7</f>
        <v>205968.75</v>
      </c>
      <c r="I1593" s="388"/>
    </row>
    <row r="1594" spans="2:9" ht="15.75" thickBot="1">
      <c r="C1594" s="231" t="s">
        <v>899</v>
      </c>
      <c r="D1594" s="218"/>
      <c r="E1594" s="218"/>
      <c r="F1594" s="218"/>
      <c r="G1594" s="280">
        <f>SUM(G1591:G1593)</f>
        <v>12187.5</v>
      </c>
      <c r="H1594" s="313">
        <f>G1594*I7</f>
        <v>1029843.75</v>
      </c>
      <c r="I1594" s="432"/>
    </row>
    <row r="1595" spans="2:9" ht="15.75" thickBot="1">
      <c r="C1595" s="710" t="s">
        <v>1031</v>
      </c>
      <c r="D1595" s="711"/>
      <c r="E1595" s="711"/>
      <c r="F1595" s="711"/>
      <c r="G1595" s="711"/>
      <c r="H1595" s="711"/>
      <c r="I1595" s="712"/>
    </row>
    <row r="1596" spans="2:9">
      <c r="D1596" s="83"/>
      <c r="E1596" s="83"/>
      <c r="F1596" s="83"/>
      <c r="G1596" s="83"/>
      <c r="H1596" s="83"/>
    </row>
    <row r="1597" spans="2:9" ht="15.75" thickBot="1"/>
    <row r="1598" spans="2:9" ht="20.25" customHeight="1">
      <c r="B1598" s="79" t="str">
        <f>'Costed Impl plan'!B206</f>
        <v>4.1.1</v>
      </c>
      <c r="C1598" s="704" t="str">
        <f>'Costed Impl plan'!C206</f>
        <v>Enhanced system for case reporting of HIV</v>
      </c>
      <c r="D1598" s="705"/>
      <c r="E1598" s="705"/>
      <c r="F1598" s="705"/>
      <c r="G1598" s="705"/>
      <c r="H1598" s="713"/>
      <c r="I1598" s="706"/>
    </row>
    <row r="1599" spans="2:9" ht="33.6" customHeight="1">
      <c r="C1599" s="707" t="s">
        <v>1030</v>
      </c>
      <c r="D1599" s="708"/>
      <c r="E1599" s="708"/>
      <c r="F1599" s="708"/>
      <c r="G1599" s="708"/>
      <c r="H1599" s="759"/>
      <c r="I1599" s="709"/>
    </row>
    <row r="1600" spans="2:9" ht="27.75" customHeight="1">
      <c r="C1600" s="131" t="s">
        <v>452</v>
      </c>
      <c r="D1600" s="113" t="s">
        <v>703</v>
      </c>
      <c r="E1600" s="113" t="s">
        <v>453</v>
      </c>
      <c r="F1600" s="113" t="s">
        <v>935</v>
      </c>
      <c r="G1600" s="270" t="s">
        <v>932</v>
      </c>
      <c r="H1600" s="270" t="s">
        <v>933</v>
      </c>
      <c r="I1600" s="375" t="s">
        <v>651</v>
      </c>
    </row>
    <row r="1601" spans="2:9">
      <c r="C1601" s="77" t="s">
        <v>728</v>
      </c>
      <c r="D1601" s="74"/>
      <c r="E1601" s="74"/>
      <c r="F1601" s="74"/>
      <c r="G1601" s="164"/>
      <c r="H1601" s="300"/>
      <c r="I1601" s="376"/>
    </row>
    <row r="1602" spans="2:9">
      <c r="C1602" s="150" t="s">
        <v>714</v>
      </c>
      <c r="D1602" s="74" t="s">
        <v>706</v>
      </c>
      <c r="E1602" s="74">
        <v>20</v>
      </c>
      <c r="F1602" s="74">
        <v>200</v>
      </c>
      <c r="G1602" s="164">
        <f>E1602*F1602</f>
        <v>4000</v>
      </c>
      <c r="H1602" s="300">
        <f>G1602*I7</f>
        <v>338000</v>
      </c>
      <c r="I1602" s="376"/>
    </row>
    <row r="1603" spans="2:9">
      <c r="C1603" s="150" t="s">
        <v>707</v>
      </c>
      <c r="D1603" s="74" t="s">
        <v>706</v>
      </c>
      <c r="E1603" s="74">
        <v>5</v>
      </c>
      <c r="F1603" s="74">
        <f>1500/80</f>
        <v>18.75</v>
      </c>
      <c r="G1603" s="164">
        <f>E1603*F1603</f>
        <v>93.75</v>
      </c>
      <c r="H1603" s="300">
        <f>G1603*I7</f>
        <v>7921.875</v>
      </c>
      <c r="I1603" s="376"/>
    </row>
    <row r="1604" spans="2:9" s="79" customFormat="1">
      <c r="C1604" s="216" t="s">
        <v>867</v>
      </c>
      <c r="D1604" s="82"/>
      <c r="E1604" s="82"/>
      <c r="F1604" s="82"/>
      <c r="G1604" s="164">
        <f>SUM(G1602:G1603)*25%</f>
        <v>1023.4375</v>
      </c>
      <c r="H1604" s="300">
        <f>G1604*I7</f>
        <v>86480.46875</v>
      </c>
      <c r="I1604" s="445"/>
    </row>
    <row r="1605" spans="2:9" ht="15.75" thickBot="1">
      <c r="C1605" s="231" t="s">
        <v>830</v>
      </c>
      <c r="D1605" s="218"/>
      <c r="E1605" s="218"/>
      <c r="F1605" s="218"/>
      <c r="G1605" s="280">
        <f>SUM(G1602:G1604)</f>
        <v>5117.1875</v>
      </c>
      <c r="H1605" s="313">
        <f>G1605*I7</f>
        <v>432402.34375</v>
      </c>
      <c r="I1605" s="432"/>
    </row>
    <row r="1606" spans="2:9" ht="15.75" thickBot="1">
      <c r="C1606" s="730" t="s">
        <v>1031</v>
      </c>
      <c r="D1606" s="731"/>
      <c r="E1606" s="731"/>
      <c r="F1606" s="731"/>
      <c r="G1606" s="731"/>
      <c r="H1606" s="323"/>
      <c r="I1606" s="469"/>
    </row>
    <row r="1608" spans="2:9" ht="15.75" thickBot="1"/>
    <row r="1609" spans="2:9" ht="21" customHeight="1">
      <c r="B1609" s="79" t="str">
        <f>'Costed Impl plan'!B209</f>
        <v>4.1.2.2</v>
      </c>
      <c r="C1609" s="704" t="str">
        <f>'Costed Impl plan'!C209</f>
        <v>Conduct regular behavioural surveillance of all key populations with IBBS in some places</v>
      </c>
      <c r="D1609" s="705"/>
      <c r="E1609" s="705"/>
      <c r="F1609" s="705"/>
      <c r="G1609" s="705"/>
      <c r="H1609" s="713"/>
      <c r="I1609" s="706"/>
    </row>
    <row r="1610" spans="2:9" s="79" customFormat="1" ht="33.75" customHeight="1">
      <c r="C1610" s="131" t="s">
        <v>452</v>
      </c>
      <c r="D1610" s="113" t="s">
        <v>703</v>
      </c>
      <c r="E1610" s="113" t="s">
        <v>453</v>
      </c>
      <c r="F1610" s="113" t="s">
        <v>935</v>
      </c>
      <c r="G1610" s="270" t="s">
        <v>932</v>
      </c>
      <c r="H1610" s="270" t="s">
        <v>933</v>
      </c>
      <c r="I1610" s="375" t="s">
        <v>651</v>
      </c>
    </row>
    <row r="1611" spans="2:9">
      <c r="C1611" s="136" t="s">
        <v>827</v>
      </c>
      <c r="D1611" s="117"/>
      <c r="E1611" s="74"/>
      <c r="F1611" s="117"/>
      <c r="G1611" s="274">
        <v>400000</v>
      </c>
      <c r="H1611" s="309">
        <f>G1611*I7</f>
        <v>33800000</v>
      </c>
      <c r="I1611" s="450"/>
    </row>
    <row r="1612" spans="2:9">
      <c r="C1612" s="67" t="s">
        <v>1024</v>
      </c>
      <c r="D1612" s="112"/>
      <c r="E1612" s="74"/>
      <c r="F1612" s="185"/>
      <c r="G1612" s="274">
        <v>400000</v>
      </c>
      <c r="H1612" s="309">
        <f>G1612*I7</f>
        <v>33800000</v>
      </c>
      <c r="I1612" s="450"/>
    </row>
    <row r="1613" spans="2:9" ht="15" customHeight="1" thickBot="1">
      <c r="C1613" s="730" t="s">
        <v>1031</v>
      </c>
      <c r="D1613" s="731"/>
      <c r="E1613" s="731"/>
      <c r="F1613" s="731"/>
      <c r="G1613" s="731"/>
      <c r="H1613" s="323"/>
      <c r="I1613" s="469"/>
    </row>
    <row r="1614" spans="2:9">
      <c r="C1614" s="154"/>
      <c r="D1614" s="166"/>
      <c r="E1614" s="166"/>
      <c r="F1614" s="166"/>
      <c r="G1614" s="287"/>
      <c r="H1614" s="287"/>
      <c r="I1614" s="154"/>
    </row>
    <row r="1615" spans="2:9" ht="15.75" thickBot="1"/>
    <row r="1616" spans="2:9">
      <c r="B1616" s="79" t="str">
        <f>'Costed Impl plan'!B210</f>
        <v>4.1.3</v>
      </c>
      <c r="C1616" s="732" t="s">
        <v>1033</v>
      </c>
      <c r="D1616" s="733"/>
      <c r="E1616" s="733"/>
      <c r="F1616" s="733"/>
      <c r="G1616" s="733"/>
      <c r="H1616" s="733"/>
      <c r="I1616" s="734"/>
    </row>
    <row r="1617" spans="2:9" ht="30">
      <c r="C1617" s="131" t="s">
        <v>452</v>
      </c>
      <c r="D1617" s="113" t="s">
        <v>703</v>
      </c>
      <c r="E1617" s="113" t="s">
        <v>453</v>
      </c>
      <c r="F1617" s="113" t="s">
        <v>935</v>
      </c>
      <c r="G1617" s="270" t="s">
        <v>932</v>
      </c>
      <c r="H1617" s="270" t="s">
        <v>933</v>
      </c>
      <c r="I1617" s="375" t="s">
        <v>651</v>
      </c>
    </row>
    <row r="1618" spans="2:9">
      <c r="C1618" s="66" t="s">
        <v>1034</v>
      </c>
      <c r="D1618" s="70"/>
      <c r="E1618" s="70"/>
      <c r="F1618" s="470"/>
      <c r="G1618" s="272">
        <v>780000</v>
      </c>
      <c r="H1618" s="304">
        <f>G1618*I7</f>
        <v>65910000</v>
      </c>
      <c r="I1618" s="376"/>
    </row>
    <row r="1619" spans="2:9" s="228" customFormat="1" ht="15.75" thickBot="1">
      <c r="C1619" s="92" t="s">
        <v>870</v>
      </c>
      <c r="D1619" s="226"/>
      <c r="E1619" s="227"/>
      <c r="F1619" s="227"/>
      <c r="G1619" s="227">
        <f>G1618</f>
        <v>780000</v>
      </c>
      <c r="H1619" s="305">
        <f>G1619*I7</f>
        <v>65910000</v>
      </c>
      <c r="I1619" s="471"/>
    </row>
    <row r="1620" spans="2:9" ht="15" customHeight="1" thickBot="1">
      <c r="C1620" s="730" t="s">
        <v>1031</v>
      </c>
      <c r="D1620" s="731"/>
      <c r="E1620" s="731"/>
      <c r="F1620" s="731"/>
      <c r="G1620" s="731"/>
      <c r="H1620" s="323"/>
      <c r="I1620" s="469"/>
    </row>
    <row r="1621" spans="2:9">
      <c r="C1621" s="118"/>
      <c r="D1621" s="128"/>
    </row>
    <row r="1623" spans="2:9" ht="15.75" thickBot="1"/>
    <row r="1624" spans="2:9">
      <c r="B1624" s="79" t="str">
        <f>'Costed Impl plan'!B211</f>
        <v xml:space="preserve">4.1.4 </v>
      </c>
      <c r="C1624" s="754" t="str">
        <f>'Costed Impl plan'!C211</f>
        <v>Conduct size estimation studies</v>
      </c>
      <c r="D1624" s="755"/>
      <c r="E1624" s="755"/>
      <c r="F1624" s="755"/>
      <c r="G1624" s="755"/>
      <c r="H1624" s="322"/>
      <c r="I1624" s="427"/>
    </row>
    <row r="1625" spans="2:9">
      <c r="C1625" s="72" t="s">
        <v>1035</v>
      </c>
      <c r="D1625" s="74"/>
      <c r="E1625" s="74"/>
      <c r="F1625" s="74"/>
      <c r="G1625" s="164"/>
      <c r="H1625" s="300"/>
      <c r="I1625" s="376"/>
    </row>
    <row r="1626" spans="2:9" ht="27.75" customHeight="1">
      <c r="C1626" s="131" t="s">
        <v>452</v>
      </c>
      <c r="D1626" s="113" t="s">
        <v>703</v>
      </c>
      <c r="E1626" s="113" t="s">
        <v>453</v>
      </c>
      <c r="F1626" s="113" t="s">
        <v>935</v>
      </c>
      <c r="G1626" s="270" t="s">
        <v>932</v>
      </c>
      <c r="H1626" s="270" t="s">
        <v>933</v>
      </c>
      <c r="I1626" s="375" t="s">
        <v>651</v>
      </c>
    </row>
    <row r="1627" spans="2:9">
      <c r="C1627" s="77" t="s">
        <v>720</v>
      </c>
      <c r="D1627" s="74"/>
      <c r="E1627" s="74"/>
      <c r="F1627" s="74"/>
      <c r="G1627" s="164"/>
      <c r="H1627" s="300"/>
      <c r="I1627" s="376"/>
    </row>
    <row r="1628" spans="2:9">
      <c r="C1628" s="150" t="s">
        <v>714</v>
      </c>
      <c r="D1628" s="74" t="s">
        <v>706</v>
      </c>
      <c r="E1628" s="74">
        <v>50</v>
      </c>
      <c r="F1628" s="74">
        <f>275</f>
        <v>275</v>
      </c>
      <c r="G1628" s="164">
        <f>E1628*F1628</f>
        <v>13750</v>
      </c>
      <c r="H1628" s="300">
        <f>G1628*I7</f>
        <v>1161875</v>
      </c>
      <c r="I1628" s="376"/>
    </row>
    <row r="1629" spans="2:9">
      <c r="C1629" s="150" t="s">
        <v>829</v>
      </c>
      <c r="D1629" s="74" t="s">
        <v>706</v>
      </c>
      <c r="E1629" s="74">
        <v>10</v>
      </c>
      <c r="F1629" s="74">
        <f>1500/80</f>
        <v>18.75</v>
      </c>
      <c r="G1629" s="164">
        <f>E1629*F1629</f>
        <v>187.5</v>
      </c>
      <c r="H1629" s="300">
        <f>G1629*I7</f>
        <v>15843.75</v>
      </c>
      <c r="I1629" s="376"/>
    </row>
    <row r="1630" spans="2:9" s="79" customFormat="1">
      <c r="C1630" s="75" t="s">
        <v>715</v>
      </c>
      <c r="D1630" s="82"/>
      <c r="E1630" s="82"/>
      <c r="F1630" s="82"/>
      <c r="G1630" s="267">
        <f>SUM(G1628:G1629)</f>
        <v>13937.5</v>
      </c>
      <c r="H1630" s="299">
        <f>G1630*I7</f>
        <v>1177718.75</v>
      </c>
      <c r="I1630" s="445"/>
    </row>
    <row r="1631" spans="2:9" s="79" customFormat="1">
      <c r="C1631" s="151" t="s">
        <v>1019</v>
      </c>
      <c r="D1631" s="74" t="s">
        <v>1020</v>
      </c>
      <c r="E1631" s="74">
        <v>1</v>
      </c>
      <c r="F1631" s="164">
        <v>130000</v>
      </c>
      <c r="G1631" s="164">
        <f>E1631*F1631</f>
        <v>130000</v>
      </c>
      <c r="H1631" s="300">
        <f>G1631*I7</f>
        <v>10985000</v>
      </c>
      <c r="I1631" s="464"/>
    </row>
    <row r="1632" spans="2:9" s="79" customFormat="1" ht="30">
      <c r="C1632" s="151" t="s">
        <v>498</v>
      </c>
      <c r="D1632" s="74" t="s">
        <v>862</v>
      </c>
      <c r="E1632" s="74">
        <v>100</v>
      </c>
      <c r="F1632" s="160">
        <v>86.09</v>
      </c>
      <c r="G1632" s="267">
        <f>E1632*F1632</f>
        <v>8609</v>
      </c>
      <c r="H1632" s="299">
        <f>G1632*I7</f>
        <v>727460.5</v>
      </c>
      <c r="I1632" s="464" t="s">
        <v>806</v>
      </c>
    </row>
    <row r="1633" spans="2:10" s="79" customFormat="1">
      <c r="C1633" s="72" t="s">
        <v>831</v>
      </c>
      <c r="D1633" s="74"/>
      <c r="E1633" s="74">
        <v>1000</v>
      </c>
      <c r="F1633" s="160">
        <v>7.5</v>
      </c>
      <c r="G1633" s="267">
        <f>E1633*F1633</f>
        <v>7500</v>
      </c>
      <c r="H1633" s="299">
        <f>G1633*I7</f>
        <v>633750</v>
      </c>
      <c r="I1633" s="376"/>
    </row>
    <row r="1634" spans="2:10" s="79" customFormat="1">
      <c r="C1634" s="72" t="s">
        <v>1036</v>
      </c>
      <c r="D1634" s="74" t="s">
        <v>1020</v>
      </c>
      <c r="E1634" s="74">
        <v>1</v>
      </c>
      <c r="F1634" s="164">
        <v>2500</v>
      </c>
      <c r="G1634" s="267">
        <f>E1634*F1634</f>
        <v>2500</v>
      </c>
      <c r="H1634" s="299">
        <f>G1634*I7</f>
        <v>211250</v>
      </c>
      <c r="I1634" s="376"/>
    </row>
    <row r="1635" spans="2:10" s="79" customFormat="1">
      <c r="C1635" s="216" t="s">
        <v>867</v>
      </c>
      <c r="D1635" s="74"/>
      <c r="E1635" s="74"/>
      <c r="F1635" s="160"/>
      <c r="G1635" s="267">
        <f>(G1630+G1632+G1633)*25%</f>
        <v>7511.625</v>
      </c>
      <c r="H1635" s="299">
        <f>G1635*I7</f>
        <v>634732.3125</v>
      </c>
      <c r="I1635" s="376"/>
    </row>
    <row r="1636" spans="2:10" s="79" customFormat="1">
      <c r="C1636" s="76" t="s">
        <v>870</v>
      </c>
      <c r="D1636" s="94"/>
      <c r="E1636" s="94"/>
      <c r="F1636" s="94"/>
      <c r="G1636" s="273">
        <f>SUM(G1630:G1635)</f>
        <v>170058.125</v>
      </c>
      <c r="H1636" s="306">
        <f>G1636*I7</f>
        <v>14369911.5625</v>
      </c>
      <c r="I1636" s="445"/>
      <c r="J1636" s="208"/>
    </row>
    <row r="1637" spans="2:10">
      <c r="J1637" s="109"/>
    </row>
    <row r="1638" spans="2:10" ht="15.75" thickBot="1">
      <c r="J1638" s="109"/>
    </row>
    <row r="1639" spans="2:10" ht="21" customHeight="1">
      <c r="B1639" s="79" t="str">
        <f>'Costed Impl plan'!B212</f>
        <v>4.1.5</v>
      </c>
      <c r="C1639" s="704" t="str">
        <f>'Costed Impl plan'!C212</f>
        <v xml:space="preserve">Conduct HIV Drug resistance Surveillance </v>
      </c>
      <c r="D1639" s="705"/>
      <c r="E1639" s="705"/>
      <c r="F1639" s="705"/>
      <c r="G1639" s="705"/>
      <c r="H1639" s="713"/>
      <c r="I1639" s="706"/>
    </row>
    <row r="1640" spans="2:10" s="79" customFormat="1" ht="33.75" customHeight="1">
      <c r="C1640" s="131" t="s">
        <v>452</v>
      </c>
      <c r="D1640" s="113" t="s">
        <v>703</v>
      </c>
      <c r="E1640" s="113" t="s">
        <v>453</v>
      </c>
      <c r="F1640" s="113" t="s">
        <v>935</v>
      </c>
      <c r="G1640" s="270" t="s">
        <v>932</v>
      </c>
      <c r="H1640" s="270" t="s">
        <v>933</v>
      </c>
      <c r="I1640" s="375" t="s">
        <v>651</v>
      </c>
    </row>
    <row r="1641" spans="2:10" s="171" customFormat="1">
      <c r="B1641" s="170"/>
      <c r="C1641" s="91" t="s">
        <v>721</v>
      </c>
      <c r="D1641" s="152"/>
      <c r="E1641" s="152"/>
      <c r="F1641" s="152"/>
      <c r="G1641" s="279"/>
      <c r="H1641" s="312"/>
      <c r="I1641" s="388"/>
    </row>
    <row r="1642" spans="2:10" s="171" customFormat="1">
      <c r="B1642" s="170"/>
      <c r="C1642" s="381" t="s">
        <v>716</v>
      </c>
      <c r="D1642" s="152" t="s">
        <v>852</v>
      </c>
      <c r="E1642" s="152">
        <v>2</v>
      </c>
      <c r="F1642" s="152">
        <v>150</v>
      </c>
      <c r="G1642" s="279">
        <f t="shared" ref="G1642:G1646" si="31">E1642*F1642</f>
        <v>300</v>
      </c>
      <c r="H1642" s="312">
        <f>G1642*I7</f>
        <v>25350</v>
      </c>
      <c r="I1642" s="388" t="s">
        <v>914</v>
      </c>
    </row>
    <row r="1643" spans="2:10" s="171" customFormat="1">
      <c r="B1643" s="170"/>
      <c r="C1643" s="381" t="s">
        <v>458</v>
      </c>
      <c r="D1643" s="152" t="s">
        <v>706</v>
      </c>
      <c r="E1643" s="152">
        <v>20</v>
      </c>
      <c r="F1643" s="152">
        <v>100</v>
      </c>
      <c r="G1643" s="279">
        <f t="shared" si="31"/>
        <v>2000</v>
      </c>
      <c r="H1643" s="312">
        <f>G1643*I7</f>
        <v>169000</v>
      </c>
      <c r="I1643" s="388"/>
    </row>
    <row r="1644" spans="2:10" s="171" customFormat="1">
      <c r="B1644" s="170"/>
      <c r="C1644" s="381" t="s">
        <v>714</v>
      </c>
      <c r="D1644" s="152" t="s">
        <v>706</v>
      </c>
      <c r="E1644" s="152">
        <v>20</v>
      </c>
      <c r="F1644" s="152">
        <v>340</v>
      </c>
      <c r="G1644" s="279">
        <f t="shared" si="31"/>
        <v>6800</v>
      </c>
      <c r="H1644" s="312">
        <f>G1644*I7</f>
        <v>574600</v>
      </c>
      <c r="I1644" s="388"/>
    </row>
    <row r="1645" spans="2:10" s="171" customFormat="1">
      <c r="B1645" s="170"/>
      <c r="C1645" s="381" t="s">
        <v>717</v>
      </c>
      <c r="D1645" s="152" t="s">
        <v>706</v>
      </c>
      <c r="E1645" s="152">
        <v>20</v>
      </c>
      <c r="F1645" s="152">
        <v>68</v>
      </c>
      <c r="G1645" s="279">
        <f t="shared" si="31"/>
        <v>1360</v>
      </c>
      <c r="H1645" s="312">
        <f>G1645*I7</f>
        <v>114920</v>
      </c>
      <c r="I1645" s="388"/>
    </row>
    <row r="1646" spans="2:10" s="171" customFormat="1">
      <c r="B1646" s="170"/>
      <c r="C1646" s="381" t="s">
        <v>718</v>
      </c>
      <c r="D1646" s="152" t="s">
        <v>706</v>
      </c>
      <c r="E1646" s="152">
        <v>20</v>
      </c>
      <c r="F1646" s="152">
        <v>20</v>
      </c>
      <c r="G1646" s="279">
        <f t="shared" si="31"/>
        <v>400</v>
      </c>
      <c r="H1646" s="312">
        <f>G1646*I7</f>
        <v>33800</v>
      </c>
      <c r="I1646" s="388"/>
    </row>
    <row r="1647" spans="2:10" s="170" customFormat="1">
      <c r="C1647" s="382" t="s">
        <v>719</v>
      </c>
      <c r="D1647" s="87"/>
      <c r="E1647" s="87"/>
      <c r="F1647" s="87">
        <f>SUM(F1642:F1646)</f>
        <v>678</v>
      </c>
      <c r="G1647" s="206">
        <f>SUM(G1642:G1646)</f>
        <v>10860</v>
      </c>
      <c r="H1647" s="312">
        <f>G1647*I7</f>
        <v>917670</v>
      </c>
      <c r="I1647" s="390"/>
    </row>
    <row r="1648" spans="2:10" s="79" customFormat="1" ht="30">
      <c r="C1648" s="151" t="s">
        <v>498</v>
      </c>
      <c r="D1648" s="74" t="s">
        <v>862</v>
      </c>
      <c r="E1648" s="74">
        <v>100</v>
      </c>
      <c r="F1648" s="160">
        <v>50</v>
      </c>
      <c r="G1648" s="267">
        <f>E1648*F1648</f>
        <v>5000</v>
      </c>
      <c r="H1648" s="299">
        <f>G1648*I7</f>
        <v>422500</v>
      </c>
      <c r="I1648" s="464" t="s">
        <v>806</v>
      </c>
    </row>
    <row r="1649" spans="2:10" ht="30">
      <c r="C1649" s="136" t="s">
        <v>977</v>
      </c>
      <c r="D1649" s="117"/>
      <c r="E1649" s="74"/>
      <c r="F1649" s="117"/>
      <c r="G1649" s="274">
        <f xml:space="preserve"> (300000+1000+2500)*1.3</f>
        <v>394550</v>
      </c>
      <c r="H1649" s="309">
        <f>G1649*I7</f>
        <v>33339475</v>
      </c>
      <c r="I1649" s="464" t="s">
        <v>978</v>
      </c>
    </row>
    <row r="1650" spans="2:10" s="79" customFormat="1">
      <c r="C1650" s="216" t="s">
        <v>867</v>
      </c>
      <c r="D1650" s="70"/>
      <c r="E1650" s="104"/>
      <c r="F1650" s="137"/>
      <c r="G1650" s="272">
        <f>SUM(G1647:G1649)*25%</f>
        <v>102602.5</v>
      </c>
      <c r="H1650" s="304">
        <f>G1650*I7</f>
        <v>8669911.25</v>
      </c>
      <c r="I1650" s="464"/>
    </row>
    <row r="1651" spans="2:10">
      <c r="C1651" s="238" t="s">
        <v>828</v>
      </c>
      <c r="D1651" s="239"/>
      <c r="E1651" s="239"/>
      <c r="F1651" s="239"/>
      <c r="G1651" s="240">
        <f>SUM(G1647:G1650)</f>
        <v>513012.5</v>
      </c>
      <c r="H1651" s="314">
        <f>G1651*I7</f>
        <v>43349556.25</v>
      </c>
      <c r="I1651" s="468"/>
    </row>
    <row r="1652" spans="2:10" ht="15.75" thickBot="1">
      <c r="C1652" s="730" t="s">
        <v>1031</v>
      </c>
      <c r="D1652" s="731"/>
      <c r="E1652" s="731"/>
      <c r="F1652" s="731"/>
      <c r="G1652" s="731"/>
      <c r="H1652" s="323"/>
      <c r="I1652" s="469"/>
    </row>
    <row r="1653" spans="2:10">
      <c r="J1653" s="109"/>
    </row>
    <row r="1654" spans="2:10" ht="15.75" thickBot="1">
      <c r="J1654" s="109"/>
    </row>
    <row r="1655" spans="2:10">
      <c r="B1655" s="79" t="str">
        <f>'Costed Impl plan'!B215</f>
        <v>4.2.1</v>
      </c>
      <c r="C1655" s="732" t="str">
        <f>'Costed Impl plan'!C215</f>
        <v>Conduct studies based on emerging needs</v>
      </c>
      <c r="D1655" s="733"/>
      <c r="E1655" s="733"/>
      <c r="F1655" s="733"/>
      <c r="G1655" s="733"/>
      <c r="H1655" s="733"/>
      <c r="I1655" s="734"/>
      <c r="J1655" s="109"/>
    </row>
    <row r="1656" spans="2:10" ht="31.5" customHeight="1">
      <c r="C1656" s="131" t="s">
        <v>452</v>
      </c>
      <c r="D1656" s="113" t="s">
        <v>703</v>
      </c>
      <c r="E1656" s="113" t="s">
        <v>453</v>
      </c>
      <c r="F1656" s="113" t="s">
        <v>935</v>
      </c>
      <c r="G1656" s="270" t="s">
        <v>932</v>
      </c>
      <c r="H1656" s="270" t="s">
        <v>933</v>
      </c>
      <c r="I1656" s="375" t="s">
        <v>651</v>
      </c>
    </row>
    <row r="1657" spans="2:10">
      <c r="C1657" s="72" t="s">
        <v>667</v>
      </c>
      <c r="D1657" s="122"/>
      <c r="E1657" s="74"/>
      <c r="F1657" s="74"/>
      <c r="G1657" s="164">
        <v>0</v>
      </c>
      <c r="H1657" s="300">
        <f>G1657*I7</f>
        <v>0</v>
      </c>
      <c r="I1657" s="376"/>
    </row>
    <row r="1658" spans="2:10" ht="45">
      <c r="C1658" s="72" t="s">
        <v>670</v>
      </c>
      <c r="D1658" s="122"/>
      <c r="E1658" s="74"/>
      <c r="F1658" s="74"/>
      <c r="G1658" s="164">
        <v>0</v>
      </c>
      <c r="H1658" s="300">
        <f>G1658*I7</f>
        <v>0</v>
      </c>
      <c r="I1658" s="441" t="s">
        <v>671</v>
      </c>
    </row>
    <row r="1659" spans="2:10">
      <c r="C1659" s="72" t="s">
        <v>668</v>
      </c>
      <c r="D1659" s="122"/>
      <c r="E1659" s="74"/>
      <c r="F1659" s="74"/>
      <c r="G1659" s="271">
        <v>0</v>
      </c>
      <c r="H1659" s="303">
        <f>G1659*I7</f>
        <v>0</v>
      </c>
      <c r="I1659" s="376"/>
    </row>
    <row r="1660" spans="2:10">
      <c r="C1660" s="72" t="s">
        <v>665</v>
      </c>
      <c r="D1660" s="122"/>
      <c r="E1660" s="74"/>
      <c r="F1660" s="74"/>
      <c r="G1660" s="271">
        <v>0</v>
      </c>
      <c r="H1660" s="303">
        <f>G1660*I7</f>
        <v>0</v>
      </c>
      <c r="I1660" s="376"/>
    </row>
    <row r="1661" spans="2:10">
      <c r="C1661" s="72" t="s">
        <v>669</v>
      </c>
      <c r="D1661" s="122"/>
      <c r="E1661" s="74"/>
      <c r="F1661" s="74"/>
      <c r="G1661" s="271">
        <v>0</v>
      </c>
      <c r="H1661" s="303">
        <f>G1661*I7</f>
        <v>0</v>
      </c>
      <c r="I1661" s="376"/>
    </row>
    <row r="1662" spans="2:10">
      <c r="B1662" s="83"/>
      <c r="C1662" s="72" t="s">
        <v>869</v>
      </c>
      <c r="D1662" s="122"/>
      <c r="E1662" s="74"/>
      <c r="F1662" s="249"/>
      <c r="G1662" s="164">
        <v>0</v>
      </c>
      <c r="H1662" s="300">
        <f>G1662*I7</f>
        <v>0</v>
      </c>
      <c r="I1662" s="376"/>
    </row>
    <row r="1663" spans="2:10">
      <c r="C1663" s="91" t="s">
        <v>625</v>
      </c>
      <c r="D1663" s="125"/>
      <c r="E1663" s="152"/>
      <c r="F1663" s="152"/>
      <c r="G1663" s="206">
        <f>SUM(G1657:G1662)*1.05</f>
        <v>0</v>
      </c>
      <c r="H1663" s="301">
        <f>G1663*I7</f>
        <v>0</v>
      </c>
      <c r="I1663" s="376"/>
    </row>
    <row r="1664" spans="2:10" ht="15.75" thickBot="1">
      <c r="C1664" s="730" t="s">
        <v>1031</v>
      </c>
      <c r="D1664" s="731"/>
      <c r="E1664" s="731"/>
      <c r="F1664" s="731"/>
      <c r="G1664" s="731"/>
      <c r="H1664" s="323"/>
      <c r="I1664" s="469"/>
    </row>
    <row r="1665" spans="2:10">
      <c r="J1665" s="109"/>
    </row>
    <row r="1666" spans="2:10">
      <c r="J1666" s="109"/>
    </row>
    <row r="1667" spans="2:10" ht="15.75" thickBot="1"/>
    <row r="1668" spans="2:10" ht="27" customHeight="1">
      <c r="B1668" s="79" t="str">
        <f>'Costed Impl plan'!B216</f>
        <v>4.2.2</v>
      </c>
      <c r="C1668" s="704" t="str">
        <f>'Costed Impl plan'!C216</f>
        <v>Serological survey (HIV and Syphilis) at ANC and STI service sites in selected distrcits (PLHIV populated)</v>
      </c>
      <c r="D1668" s="705"/>
      <c r="E1668" s="705"/>
      <c r="F1668" s="705"/>
      <c r="G1668" s="705"/>
      <c r="H1668" s="713"/>
      <c r="I1668" s="706"/>
    </row>
    <row r="1669" spans="2:10" ht="30">
      <c r="C1669" s="131" t="s">
        <v>452</v>
      </c>
      <c r="D1669" s="113" t="s">
        <v>703</v>
      </c>
      <c r="E1669" s="113" t="s">
        <v>453</v>
      </c>
      <c r="F1669" s="113" t="s">
        <v>935</v>
      </c>
      <c r="G1669" s="270" t="s">
        <v>932</v>
      </c>
      <c r="H1669" s="270" t="s">
        <v>933</v>
      </c>
      <c r="I1669" s="375" t="s">
        <v>651</v>
      </c>
    </row>
    <row r="1670" spans="2:10" ht="31.5" customHeight="1">
      <c r="C1670" s="728" t="s">
        <v>1037</v>
      </c>
      <c r="D1670" s="729"/>
      <c r="E1670" s="729"/>
      <c r="F1670" s="729"/>
      <c r="G1670" s="729"/>
      <c r="H1670" s="324"/>
      <c r="I1670" s="376"/>
    </row>
    <row r="1671" spans="2:10" ht="15.75" thickBot="1">
      <c r="C1671" s="92" t="s">
        <v>625</v>
      </c>
      <c r="D1671" s="93"/>
      <c r="E1671" s="153"/>
      <c r="F1671" s="153"/>
      <c r="G1671" s="227">
        <v>0</v>
      </c>
      <c r="H1671" s="305">
        <f>G1671*I7</f>
        <v>0</v>
      </c>
      <c r="I1671" s="432"/>
    </row>
    <row r="1672" spans="2:10" ht="15.75" thickBot="1">
      <c r="C1672" s="730" t="s">
        <v>1031</v>
      </c>
      <c r="D1672" s="731"/>
      <c r="E1672" s="731"/>
      <c r="F1672" s="731"/>
      <c r="G1672" s="731"/>
      <c r="H1672" s="323"/>
      <c r="I1672" s="469"/>
    </row>
    <row r="1673" spans="2:10">
      <c r="D1673" s="83"/>
      <c r="E1673" s="83"/>
      <c r="F1673" s="83"/>
      <c r="G1673" s="83"/>
      <c r="H1673" s="83"/>
      <c r="I1673" s="353"/>
    </row>
    <row r="1674" spans="2:10" ht="15.75" thickBot="1">
      <c r="D1674" s="83"/>
      <c r="E1674" s="83"/>
      <c r="F1674" s="83"/>
      <c r="G1674" s="83"/>
      <c r="H1674" s="83"/>
      <c r="I1674" s="353"/>
    </row>
    <row r="1675" spans="2:10">
      <c r="B1675" s="79" t="s">
        <v>329</v>
      </c>
      <c r="C1675" s="704" t="s">
        <v>1114</v>
      </c>
      <c r="D1675" s="705"/>
      <c r="E1675" s="705"/>
      <c r="F1675" s="705"/>
      <c r="G1675" s="705"/>
      <c r="H1675" s="713"/>
      <c r="I1675" s="706"/>
    </row>
    <row r="1676" spans="2:10" ht="30">
      <c r="C1676" s="131" t="s">
        <v>452</v>
      </c>
      <c r="D1676" s="113" t="s">
        <v>703</v>
      </c>
      <c r="E1676" s="113" t="s">
        <v>453</v>
      </c>
      <c r="F1676" s="113" t="s">
        <v>935</v>
      </c>
      <c r="G1676" s="270" t="s">
        <v>932</v>
      </c>
      <c r="H1676" s="270" t="s">
        <v>933</v>
      </c>
      <c r="I1676" s="375" t="s">
        <v>651</v>
      </c>
    </row>
    <row r="1677" spans="2:10">
      <c r="C1677" s="596" t="s">
        <v>1115</v>
      </c>
      <c r="D1677" s="591" t="s">
        <v>1116</v>
      </c>
      <c r="E1677" s="591">
        <v>60</v>
      </c>
      <c r="F1677" s="597">
        <v>275</v>
      </c>
      <c r="G1677" s="597">
        <f>E1677*F1677</f>
        <v>16500</v>
      </c>
      <c r="H1677" s="270">
        <f>G1677*I7</f>
        <v>1394250</v>
      </c>
      <c r="I1677" s="375"/>
    </row>
    <row r="1678" spans="2:10">
      <c r="C1678" s="596" t="s">
        <v>1117</v>
      </c>
      <c r="D1678" s="591"/>
      <c r="E1678" s="591">
        <v>1</v>
      </c>
      <c r="F1678" s="597">
        <v>60000</v>
      </c>
      <c r="G1678" s="597">
        <f>E1678*F1678</f>
        <v>60000</v>
      </c>
      <c r="H1678" s="270">
        <f>G1678*I8</f>
        <v>0</v>
      </c>
      <c r="I1678" s="375"/>
    </row>
    <row r="1679" spans="2:10">
      <c r="C1679" s="596" t="s">
        <v>916</v>
      </c>
      <c r="D1679" s="591"/>
      <c r="E1679" s="591"/>
      <c r="F1679" s="597"/>
      <c r="G1679" s="597">
        <f>SUM(G1677:G1678)*25%</f>
        <v>19125</v>
      </c>
      <c r="H1679" s="270">
        <f>G1679*I9</f>
        <v>0</v>
      </c>
      <c r="I1679" s="375"/>
    </row>
    <row r="1680" spans="2:10" ht="15.75" thickBot="1">
      <c r="C1680" s="92" t="s">
        <v>625</v>
      </c>
      <c r="D1680" s="93"/>
      <c r="E1680" s="153"/>
      <c r="F1680" s="153"/>
      <c r="G1680" s="227">
        <f>SUM(G1677:G1679)</f>
        <v>95625</v>
      </c>
      <c r="H1680" s="305">
        <f>G1680*I7</f>
        <v>8080312.5</v>
      </c>
      <c r="I1680" s="432"/>
    </row>
    <row r="1681" spans="2:9" ht="15.75" thickBot="1">
      <c r="C1681" s="761"/>
      <c r="D1681" s="762"/>
      <c r="E1681" s="762"/>
      <c r="F1681" s="762"/>
      <c r="G1681" s="762"/>
      <c r="H1681" s="762"/>
      <c r="I1681" s="763"/>
    </row>
    <row r="1682" spans="2:9">
      <c r="D1682" s="83"/>
      <c r="E1682" s="83"/>
      <c r="F1682" s="83"/>
      <c r="G1682" s="83"/>
      <c r="H1682" s="83"/>
      <c r="I1682" s="353"/>
    </row>
    <row r="1684" spans="2:9" ht="15.75" thickBot="1"/>
    <row r="1685" spans="2:9" ht="32.25" customHeight="1">
      <c r="B1685" s="79" t="str">
        <f>'Costed Impl plan'!B218</f>
        <v>4.2.4</v>
      </c>
      <c r="C1685" s="704" t="str">
        <f>'Costed Impl plan'!C218</f>
        <v xml:space="preserve">Conduct national workshop to prioritize as well as  review existing  research /operations research /studies; develop annual national agenda for research </v>
      </c>
      <c r="D1685" s="705"/>
      <c r="E1685" s="705"/>
      <c r="F1685" s="705"/>
      <c r="G1685" s="705"/>
      <c r="H1685" s="713"/>
      <c r="I1685" s="706"/>
    </row>
    <row r="1686" spans="2:9">
      <c r="C1686" s="728" t="s">
        <v>646</v>
      </c>
      <c r="D1686" s="729"/>
      <c r="E1686" s="729"/>
      <c r="F1686" s="729"/>
      <c r="G1686" s="729"/>
      <c r="H1686" s="324"/>
      <c r="I1686" s="376"/>
    </row>
    <row r="1687" spans="2:9" ht="30">
      <c r="C1687" s="131" t="s">
        <v>452</v>
      </c>
      <c r="D1687" s="113" t="s">
        <v>703</v>
      </c>
      <c r="E1687" s="113" t="s">
        <v>453</v>
      </c>
      <c r="F1687" s="113" t="s">
        <v>935</v>
      </c>
      <c r="G1687" s="270" t="s">
        <v>932</v>
      </c>
      <c r="H1687" s="270" t="s">
        <v>933</v>
      </c>
      <c r="I1687" s="375" t="s">
        <v>651</v>
      </c>
    </row>
    <row r="1688" spans="2:9">
      <c r="C1688" s="72" t="s">
        <v>833</v>
      </c>
      <c r="D1688" s="74"/>
      <c r="E1688" s="74"/>
      <c r="F1688" s="160"/>
      <c r="G1688" s="164"/>
      <c r="H1688" s="300"/>
      <c r="I1688" s="376"/>
    </row>
    <row r="1689" spans="2:9">
      <c r="C1689" s="72" t="s">
        <v>454</v>
      </c>
      <c r="D1689" s="74" t="s">
        <v>819</v>
      </c>
      <c r="E1689" s="74">
        <v>0</v>
      </c>
      <c r="F1689" s="160">
        <v>0</v>
      </c>
      <c r="G1689" s="164">
        <f>E1689*F1689</f>
        <v>0</v>
      </c>
      <c r="H1689" s="331">
        <f>G1689*I7</f>
        <v>0</v>
      </c>
      <c r="I1689" s="376"/>
    </row>
    <row r="1690" spans="2:9">
      <c r="C1690" s="72" t="s">
        <v>467</v>
      </c>
      <c r="D1690" s="74" t="s">
        <v>819</v>
      </c>
      <c r="E1690" s="74">
        <v>50</v>
      </c>
      <c r="F1690" s="160">
        <v>15</v>
      </c>
      <c r="G1690" s="164">
        <f>E1690*F1690</f>
        <v>750</v>
      </c>
      <c r="H1690" s="331">
        <f>G1690*I7</f>
        <v>63375</v>
      </c>
      <c r="I1690" s="376"/>
    </row>
    <row r="1691" spans="2:9">
      <c r="C1691" s="72" t="s">
        <v>457</v>
      </c>
      <c r="D1691" s="74" t="s">
        <v>819</v>
      </c>
      <c r="E1691" s="74">
        <v>50</v>
      </c>
      <c r="F1691" s="160">
        <v>10</v>
      </c>
      <c r="G1691" s="164">
        <f>E1691*F1691</f>
        <v>500</v>
      </c>
      <c r="H1691" s="331">
        <f>G1691*I7</f>
        <v>42250</v>
      </c>
      <c r="I1691" s="376"/>
    </row>
    <row r="1692" spans="2:9">
      <c r="C1692" s="72" t="s">
        <v>458</v>
      </c>
      <c r="D1692" s="74" t="s">
        <v>819</v>
      </c>
      <c r="E1692" s="74">
        <v>50</v>
      </c>
      <c r="F1692" s="160">
        <v>10</v>
      </c>
      <c r="G1692" s="164">
        <f>E1692*F1692</f>
        <v>500</v>
      </c>
      <c r="H1692" s="331">
        <f>G1692*I7</f>
        <v>42250</v>
      </c>
      <c r="I1692" s="376"/>
    </row>
    <row r="1693" spans="2:9">
      <c r="C1693" s="72" t="s">
        <v>459</v>
      </c>
      <c r="D1693" s="74" t="s">
        <v>819</v>
      </c>
      <c r="E1693" s="74">
        <v>50</v>
      </c>
      <c r="F1693" s="160">
        <v>2.8940625</v>
      </c>
      <c r="G1693" s="164">
        <f>E1693*F1693</f>
        <v>144.703125</v>
      </c>
      <c r="H1693" s="331">
        <f>G1693*I7</f>
        <v>12227.4140625</v>
      </c>
      <c r="I1693" s="376"/>
    </row>
    <row r="1694" spans="2:9">
      <c r="C1694" s="216" t="s">
        <v>867</v>
      </c>
      <c r="D1694" s="113"/>
      <c r="E1694" s="113"/>
      <c r="F1694" s="113"/>
      <c r="G1694" s="270">
        <f>SUM(G1689:G1693)*25%</f>
        <v>473.67578125</v>
      </c>
      <c r="H1694" s="335">
        <f>G1694*I7</f>
        <v>40025.603515625</v>
      </c>
      <c r="I1694" s="376"/>
    </row>
    <row r="1695" spans="2:9">
      <c r="C1695" s="236" t="s">
        <v>834</v>
      </c>
      <c r="D1695" s="237"/>
      <c r="E1695" s="237"/>
      <c r="F1695" s="237"/>
      <c r="G1695" s="291">
        <f>SUM(G1689:G1694)*1.05</f>
        <v>2486.7978515625</v>
      </c>
      <c r="H1695" s="333">
        <f>G1695*I7</f>
        <v>210134.41845703125</v>
      </c>
      <c r="I1695" s="376"/>
    </row>
    <row r="1696" spans="2:9" ht="15" customHeight="1" thickBot="1">
      <c r="C1696" s="710" t="s">
        <v>1031</v>
      </c>
      <c r="D1696" s="711"/>
      <c r="E1696" s="711"/>
      <c r="F1696" s="711"/>
      <c r="G1696" s="711"/>
      <c r="H1696" s="735"/>
      <c r="I1696" s="712"/>
    </row>
    <row r="1699" spans="2:9" ht="15.75" thickBot="1"/>
    <row r="1700" spans="2:9" ht="15" customHeight="1">
      <c r="B1700" s="79" t="str">
        <f>'Costed Impl plan'!B221</f>
        <v>4.3.1</v>
      </c>
      <c r="C1700" s="704" t="str">
        <f>'Costed Impl plan'!C221</f>
        <v>Conduct mid-term and end-term evaluations</v>
      </c>
      <c r="D1700" s="705"/>
      <c r="E1700" s="705"/>
      <c r="F1700" s="705"/>
      <c r="G1700" s="705"/>
      <c r="H1700" s="713"/>
      <c r="I1700" s="706"/>
    </row>
    <row r="1701" spans="2:9">
      <c r="C1701" s="728" t="s">
        <v>1038</v>
      </c>
      <c r="D1701" s="729"/>
      <c r="E1701" s="729"/>
      <c r="F1701" s="729"/>
      <c r="G1701" s="729"/>
      <c r="H1701" s="324"/>
      <c r="I1701" s="376"/>
    </row>
    <row r="1702" spans="2:9" ht="15.75" thickBot="1">
      <c r="C1702" s="92" t="s">
        <v>835</v>
      </c>
      <c r="D1702" s="93"/>
      <c r="E1702" s="93"/>
      <c r="F1702" s="93"/>
      <c r="G1702" s="227">
        <f>G1671</f>
        <v>0</v>
      </c>
      <c r="H1702" s="305">
        <f>G1702*I7</f>
        <v>0</v>
      </c>
      <c r="I1702" s="432"/>
    </row>
    <row r="1703" spans="2:9" ht="15" customHeight="1" thickBot="1">
      <c r="C1703" s="710" t="s">
        <v>1031</v>
      </c>
      <c r="D1703" s="711"/>
      <c r="E1703" s="711"/>
      <c r="F1703" s="711"/>
      <c r="G1703" s="711"/>
      <c r="H1703" s="735"/>
      <c r="I1703" s="712"/>
    </row>
    <row r="1706" spans="2:9" ht="15.75" thickBot="1"/>
    <row r="1707" spans="2:9">
      <c r="B1707" s="79" t="str">
        <f>'Costed Impl plan'!B222</f>
        <v>4.3.2</v>
      </c>
      <c r="C1707" s="732" t="s">
        <v>1039</v>
      </c>
      <c r="D1707" s="733"/>
      <c r="E1707" s="733"/>
      <c r="F1707" s="733"/>
      <c r="G1707" s="733"/>
      <c r="H1707" s="733"/>
      <c r="I1707" s="734"/>
    </row>
    <row r="1708" spans="2:9" ht="30">
      <c r="C1708" s="131" t="s">
        <v>452</v>
      </c>
      <c r="D1708" s="113" t="s">
        <v>703</v>
      </c>
      <c r="E1708" s="113" t="s">
        <v>453</v>
      </c>
      <c r="F1708" s="113" t="s">
        <v>935</v>
      </c>
      <c r="G1708" s="270" t="s">
        <v>932</v>
      </c>
      <c r="H1708" s="270" t="s">
        <v>933</v>
      </c>
      <c r="I1708" s="375" t="s">
        <v>651</v>
      </c>
    </row>
    <row r="1709" spans="2:9">
      <c r="C1709" s="77" t="s">
        <v>738</v>
      </c>
      <c r="D1709" s="74"/>
      <c r="E1709" s="74"/>
      <c r="F1709" s="74"/>
      <c r="G1709" s="164"/>
      <c r="H1709" s="300"/>
      <c r="I1709" s="376"/>
    </row>
    <row r="1710" spans="2:9">
      <c r="C1710" s="150" t="s">
        <v>714</v>
      </c>
      <c r="D1710" s="74" t="s">
        <v>706</v>
      </c>
      <c r="E1710" s="74">
        <v>45</v>
      </c>
      <c r="F1710" s="74">
        <v>200</v>
      </c>
      <c r="G1710" s="164">
        <f>E1710*F1710</f>
        <v>9000</v>
      </c>
      <c r="H1710" s="300">
        <f>G1710*I7</f>
        <v>760500</v>
      </c>
      <c r="I1710" s="376"/>
    </row>
    <row r="1711" spans="2:9">
      <c r="C1711" s="150" t="s">
        <v>829</v>
      </c>
      <c r="D1711" s="74" t="s">
        <v>706</v>
      </c>
      <c r="E1711" s="74">
        <v>10</v>
      </c>
      <c r="F1711" s="74">
        <f>1500/80</f>
        <v>18.75</v>
      </c>
      <c r="G1711" s="164">
        <f>E1711*F1711</f>
        <v>187.5</v>
      </c>
      <c r="H1711" s="300">
        <f>G1711*I7</f>
        <v>15843.75</v>
      </c>
      <c r="I1711" s="376"/>
    </row>
    <row r="1712" spans="2:9" s="79" customFormat="1">
      <c r="C1712" s="75" t="s">
        <v>715</v>
      </c>
      <c r="D1712" s="82"/>
      <c r="E1712" s="82"/>
      <c r="F1712" s="82"/>
      <c r="G1712" s="267">
        <f>SUM(G1710:G1711)</f>
        <v>9187.5</v>
      </c>
      <c r="H1712" s="299">
        <f>G1712*I7</f>
        <v>776343.75</v>
      </c>
      <c r="I1712" s="445"/>
    </row>
    <row r="1713" spans="2:9" s="79" customFormat="1">
      <c r="C1713" s="216" t="s">
        <v>867</v>
      </c>
      <c r="D1713" s="82"/>
      <c r="E1713" s="82"/>
      <c r="F1713" s="224"/>
      <c r="G1713" s="164">
        <f>G1712*25%</f>
        <v>2296.875</v>
      </c>
      <c r="H1713" s="300">
        <f>G1713*I7</f>
        <v>194085.9375</v>
      </c>
      <c r="I1713" s="377"/>
    </row>
    <row r="1714" spans="2:9" s="79" customFormat="1" ht="15.75" thickBot="1">
      <c r="C1714" s="186" t="s">
        <v>836</v>
      </c>
      <c r="D1714" s="121"/>
      <c r="E1714" s="93"/>
      <c r="F1714" s="93"/>
      <c r="G1714" s="227">
        <f>G1712+G1713</f>
        <v>11484.375</v>
      </c>
      <c r="H1714" s="305">
        <f>G1714*I7</f>
        <v>970429.6875</v>
      </c>
      <c r="I1714" s="466"/>
    </row>
    <row r="1715" spans="2:9" ht="15" customHeight="1" thickBot="1">
      <c r="C1715" s="710" t="s">
        <v>1031</v>
      </c>
      <c r="D1715" s="711"/>
      <c r="E1715" s="711"/>
      <c r="F1715" s="711"/>
      <c r="G1715" s="711"/>
      <c r="H1715" s="735"/>
      <c r="I1715" s="712"/>
    </row>
    <row r="1716" spans="2:9">
      <c r="C1716" s="187"/>
      <c r="D1716" s="188"/>
      <c r="E1716" s="188"/>
      <c r="F1716" s="188"/>
      <c r="G1716" s="292"/>
      <c r="H1716" s="292"/>
    </row>
    <row r="1717" spans="2:9" ht="15.75" thickBot="1"/>
    <row r="1718" spans="2:9" ht="15" customHeight="1">
      <c r="B1718" s="79" t="str">
        <f>'Costed Impl plan'!B223</f>
        <v>4.3.3</v>
      </c>
      <c r="C1718" s="704" t="str">
        <f>'Costed Impl plan'!C223</f>
        <v xml:space="preserve">Conduct quarterly M&amp;E TWG and coordination meetings </v>
      </c>
      <c r="D1718" s="705"/>
      <c r="E1718" s="705"/>
      <c r="F1718" s="705"/>
      <c r="G1718" s="705"/>
      <c r="H1718" s="713"/>
      <c r="I1718" s="706"/>
    </row>
    <row r="1719" spans="2:9">
      <c r="C1719" s="77" t="s">
        <v>585</v>
      </c>
      <c r="D1719" s="82"/>
      <c r="E1719" s="74"/>
      <c r="F1719" s="74"/>
      <c r="G1719" s="164"/>
      <c r="H1719" s="300"/>
      <c r="I1719" s="376"/>
    </row>
    <row r="1720" spans="2:9" ht="28.5" customHeight="1">
      <c r="C1720" s="131" t="s">
        <v>452</v>
      </c>
      <c r="D1720" s="113" t="s">
        <v>703</v>
      </c>
      <c r="E1720" s="113" t="s">
        <v>453</v>
      </c>
      <c r="F1720" s="113" t="s">
        <v>935</v>
      </c>
      <c r="G1720" s="270" t="s">
        <v>932</v>
      </c>
      <c r="H1720" s="270" t="s">
        <v>933</v>
      </c>
      <c r="I1720" s="375" t="s">
        <v>651</v>
      </c>
    </row>
    <row r="1721" spans="2:9">
      <c r="C1721" s="72" t="s">
        <v>564</v>
      </c>
      <c r="D1721" s="73" t="s">
        <v>746</v>
      </c>
      <c r="E1721" s="74">
        <v>1</v>
      </c>
      <c r="F1721" s="160">
        <v>56.25</v>
      </c>
      <c r="G1721" s="164">
        <f>E1721*F1721</f>
        <v>56.25</v>
      </c>
      <c r="H1721" s="300">
        <f>G1721*I7</f>
        <v>4753.125</v>
      </c>
      <c r="I1721" s="376"/>
    </row>
    <row r="1722" spans="2:9">
      <c r="C1722" s="72" t="s">
        <v>455</v>
      </c>
      <c r="D1722" s="73" t="s">
        <v>746</v>
      </c>
      <c r="E1722" s="74">
        <f>10*1.5</f>
        <v>15</v>
      </c>
      <c r="F1722" s="160">
        <v>41.25</v>
      </c>
      <c r="G1722" s="164">
        <f>E1722*F1722</f>
        <v>618.75</v>
      </c>
      <c r="H1722" s="300">
        <f>G1722*I7</f>
        <v>52284.375</v>
      </c>
      <c r="I1722" s="376"/>
    </row>
    <row r="1723" spans="2:9">
      <c r="C1723" s="72" t="s">
        <v>756</v>
      </c>
      <c r="D1723" s="73" t="s">
        <v>757</v>
      </c>
      <c r="E1723" s="74">
        <v>10</v>
      </c>
      <c r="F1723" s="160">
        <v>25</v>
      </c>
      <c r="G1723" s="164">
        <f>E1723*F1723</f>
        <v>250</v>
      </c>
      <c r="H1723" s="300">
        <f>G1723*I7</f>
        <v>21125</v>
      </c>
      <c r="I1723" s="376"/>
    </row>
    <row r="1724" spans="2:9">
      <c r="C1724" s="72" t="s">
        <v>565</v>
      </c>
      <c r="D1724" s="73" t="s">
        <v>748</v>
      </c>
      <c r="E1724" s="74">
        <v>25</v>
      </c>
      <c r="F1724" s="160">
        <v>0.625</v>
      </c>
      <c r="G1724" s="164">
        <f>E1724*F1724</f>
        <v>15.625</v>
      </c>
      <c r="H1724" s="300">
        <f>G1724*I7</f>
        <v>1320.3125</v>
      </c>
      <c r="I1724" s="376"/>
    </row>
    <row r="1725" spans="2:9">
      <c r="C1725" s="72" t="s">
        <v>458</v>
      </c>
      <c r="D1725" s="73" t="s">
        <v>748</v>
      </c>
      <c r="E1725" s="74">
        <v>25</v>
      </c>
      <c r="F1725" s="74">
        <v>3.75</v>
      </c>
      <c r="G1725" s="164">
        <f>E1725*F1725</f>
        <v>93.75</v>
      </c>
      <c r="H1725" s="300">
        <f>G1725*I7</f>
        <v>7921.875</v>
      </c>
      <c r="I1725" s="376"/>
    </row>
    <row r="1726" spans="2:9" s="79" customFormat="1">
      <c r="C1726" s="216" t="s">
        <v>867</v>
      </c>
      <c r="D1726" s="104"/>
      <c r="E1726" s="82"/>
      <c r="F1726" s="82"/>
      <c r="G1726" s="164">
        <f>SUM(G1721:G1725)*25%</f>
        <v>258.59375</v>
      </c>
      <c r="H1726" s="300">
        <f>G1726*I7</f>
        <v>21851.171875</v>
      </c>
      <c r="I1726" s="445"/>
    </row>
    <row r="1727" spans="2:9">
      <c r="C1727" s="77" t="s">
        <v>502</v>
      </c>
      <c r="D1727" s="82"/>
      <c r="E1727" s="74"/>
      <c r="F1727" s="74"/>
      <c r="G1727" s="267">
        <f>SUM(G1721:G1726)*1.05</f>
        <v>1357.6171875</v>
      </c>
      <c r="H1727" s="299">
        <f>G1727*I7</f>
        <v>114718.65234375</v>
      </c>
      <c r="I1727" s="376"/>
    </row>
    <row r="1728" spans="2:9" ht="15.75" customHeight="1" thickBot="1">
      <c r="C1728" s="710" t="s">
        <v>1031</v>
      </c>
      <c r="D1728" s="711"/>
      <c r="E1728" s="711"/>
      <c r="F1728" s="711"/>
      <c r="G1728" s="711"/>
      <c r="H1728" s="735"/>
      <c r="I1728" s="712"/>
    </row>
    <row r="1729" spans="2:9">
      <c r="C1729" s="187"/>
      <c r="D1729" s="187"/>
      <c r="E1729" s="188"/>
      <c r="F1729" s="188"/>
      <c r="G1729" s="292"/>
      <c r="H1729" s="292"/>
    </row>
    <row r="1730" spans="2:9">
      <c r="C1730" s="187"/>
      <c r="D1730" s="187"/>
      <c r="E1730" s="188"/>
      <c r="F1730" s="188"/>
      <c r="G1730" s="292"/>
      <c r="H1730" s="292"/>
    </row>
    <row r="1731" spans="2:9" ht="15.75" thickBot="1"/>
    <row r="1732" spans="2:9" ht="22.5" customHeight="1">
      <c r="B1732" s="79" t="str">
        <f>'Costed Impl plan'!B224</f>
        <v>4.3.4</v>
      </c>
      <c r="C1732" s="704" t="str">
        <f>'Costed Impl plan'!C224</f>
        <v xml:space="preserve">Periodic review and updating of the M&amp;E system and its indicators in a participatory manner </v>
      </c>
      <c r="D1732" s="705"/>
      <c r="E1732" s="705"/>
      <c r="F1732" s="705"/>
      <c r="G1732" s="705"/>
      <c r="H1732" s="713"/>
      <c r="I1732" s="706"/>
    </row>
    <row r="1733" spans="2:9" ht="30">
      <c r="C1733" s="131" t="s">
        <v>452</v>
      </c>
      <c r="D1733" s="113" t="s">
        <v>703</v>
      </c>
      <c r="E1733" s="113" t="s">
        <v>453</v>
      </c>
      <c r="F1733" s="113" t="s">
        <v>935</v>
      </c>
      <c r="G1733" s="270" t="s">
        <v>932</v>
      </c>
      <c r="H1733" s="270" t="s">
        <v>933</v>
      </c>
      <c r="I1733" s="375" t="s">
        <v>651</v>
      </c>
    </row>
    <row r="1734" spans="2:9">
      <c r="C1734" s="72" t="s">
        <v>627</v>
      </c>
      <c r="D1734" s="74"/>
      <c r="E1734" s="74"/>
      <c r="F1734" s="74"/>
      <c r="G1734" s="164"/>
      <c r="H1734" s="300"/>
      <c r="I1734" s="376"/>
    </row>
    <row r="1735" spans="2:9">
      <c r="C1735" s="72" t="s">
        <v>628</v>
      </c>
      <c r="D1735" s="74"/>
      <c r="E1735" s="74"/>
      <c r="F1735" s="74"/>
      <c r="G1735" s="164"/>
      <c r="H1735" s="300"/>
      <c r="I1735" s="376"/>
    </row>
    <row r="1736" spans="2:9">
      <c r="C1736" s="72" t="s">
        <v>567</v>
      </c>
      <c r="D1736" s="74"/>
      <c r="E1736" s="74"/>
      <c r="F1736" s="74"/>
      <c r="G1736" s="164"/>
      <c r="H1736" s="300"/>
      <c r="I1736" s="376"/>
    </row>
    <row r="1737" spans="2:9" s="119" customFormat="1">
      <c r="C1737" s="75" t="s">
        <v>410</v>
      </c>
      <c r="D1737" s="82"/>
      <c r="E1737" s="82"/>
      <c r="F1737" s="82"/>
      <c r="G1737" s="267">
        <f>15000*1.3</f>
        <v>19500</v>
      </c>
      <c r="H1737" s="299">
        <f>G1737*I7</f>
        <v>1647750</v>
      </c>
      <c r="I1737" s="449"/>
    </row>
    <row r="1738" spans="2:9" s="79" customFormat="1">
      <c r="C1738" s="216" t="s">
        <v>867</v>
      </c>
      <c r="D1738" s="82"/>
      <c r="E1738" s="82"/>
      <c r="F1738" s="224"/>
      <c r="G1738" s="267">
        <f>G1737*25%</f>
        <v>4875</v>
      </c>
      <c r="H1738" s="299">
        <f>G1738*I7</f>
        <v>411937.5</v>
      </c>
      <c r="I1738" s="377"/>
    </row>
    <row r="1739" spans="2:9" s="119" customFormat="1">
      <c r="C1739" s="234" t="s">
        <v>837</v>
      </c>
      <c r="D1739" s="235"/>
      <c r="E1739" s="235"/>
      <c r="F1739" s="220"/>
      <c r="G1739" s="240">
        <f>G1737+G1738</f>
        <v>24375</v>
      </c>
      <c r="H1739" s="314">
        <f>G1739*I7</f>
        <v>2059687.5</v>
      </c>
      <c r="I1739" s="449"/>
    </row>
    <row r="1740" spans="2:9" ht="15.75" thickBot="1">
      <c r="C1740" s="756" t="s">
        <v>1031</v>
      </c>
      <c r="D1740" s="757"/>
      <c r="E1740" s="757"/>
      <c r="F1740" s="757"/>
      <c r="G1740" s="758"/>
      <c r="H1740" s="326"/>
      <c r="I1740" s="432"/>
    </row>
    <row r="1741" spans="2:9">
      <c r="C1741" s="187"/>
      <c r="D1741" s="188"/>
      <c r="E1741" s="188"/>
      <c r="F1741" s="188"/>
      <c r="G1741" s="292"/>
      <c r="H1741" s="292"/>
    </row>
    <row r="1742" spans="2:9" ht="15.75" thickBot="1">
      <c r="C1742" s="187"/>
      <c r="D1742" s="188"/>
      <c r="E1742" s="188"/>
      <c r="F1742" s="188"/>
      <c r="G1742" s="292"/>
      <c r="H1742" s="292"/>
    </row>
    <row r="1743" spans="2:9" ht="30" customHeight="1">
      <c r="B1743" s="79" t="str">
        <f>'Costed Impl plan'!B225</f>
        <v>4.3.5</v>
      </c>
      <c r="C1743" s="704" t="str">
        <f>'Costed Impl plan'!C225</f>
        <v xml:space="preserve">Advocacy and follow up meeting with the stakeholders  to ensure regular reporting as well as providing feedback </v>
      </c>
      <c r="D1743" s="705"/>
      <c r="E1743" s="705"/>
      <c r="F1743" s="705"/>
      <c r="G1743" s="705"/>
      <c r="H1743" s="713"/>
      <c r="I1743" s="706"/>
    </row>
    <row r="1744" spans="2:9">
      <c r="C1744" s="72" t="s">
        <v>927</v>
      </c>
      <c r="D1744" s="74"/>
      <c r="E1744" s="74"/>
      <c r="F1744" s="74"/>
      <c r="G1744" s="164"/>
      <c r="H1744" s="300"/>
      <c r="I1744" s="376"/>
    </row>
    <row r="1745" spans="2:9" ht="30">
      <c r="C1745" s="131" t="s">
        <v>452</v>
      </c>
      <c r="D1745" s="113" t="s">
        <v>703</v>
      </c>
      <c r="E1745" s="113" t="s">
        <v>453</v>
      </c>
      <c r="F1745" s="113" t="s">
        <v>935</v>
      </c>
      <c r="G1745" s="270" t="s">
        <v>932</v>
      </c>
      <c r="H1745" s="270" t="s">
        <v>933</v>
      </c>
      <c r="I1745" s="375" t="s">
        <v>651</v>
      </c>
    </row>
    <row r="1746" spans="2:9">
      <c r="C1746" s="72" t="s">
        <v>454</v>
      </c>
      <c r="D1746" s="73" t="s">
        <v>748</v>
      </c>
      <c r="E1746" s="74">
        <v>30</v>
      </c>
      <c r="F1746" s="160">
        <v>0</v>
      </c>
      <c r="G1746" s="164">
        <f>E1746*F1746</f>
        <v>0</v>
      </c>
      <c r="H1746" s="300">
        <f>G1746*I7</f>
        <v>0</v>
      </c>
      <c r="I1746" s="376"/>
    </row>
    <row r="1747" spans="2:9">
      <c r="C1747" s="72" t="s">
        <v>467</v>
      </c>
      <c r="D1747" s="73" t="s">
        <v>748</v>
      </c>
      <c r="E1747" s="74">
        <v>30</v>
      </c>
      <c r="F1747" s="160">
        <v>15</v>
      </c>
      <c r="G1747" s="164">
        <f>E1747*F1747</f>
        <v>450</v>
      </c>
      <c r="H1747" s="300">
        <f>G1747*I7</f>
        <v>38025</v>
      </c>
      <c r="I1747" s="376"/>
    </row>
    <row r="1748" spans="2:9">
      <c r="C1748" s="72" t="s">
        <v>457</v>
      </c>
      <c r="D1748" s="73" t="s">
        <v>748</v>
      </c>
      <c r="E1748" s="74">
        <v>30</v>
      </c>
      <c r="F1748" s="160">
        <v>15</v>
      </c>
      <c r="G1748" s="164">
        <f>E1748*F1748</f>
        <v>450</v>
      </c>
      <c r="H1748" s="300">
        <f>G1748*I7</f>
        <v>38025</v>
      </c>
      <c r="I1748" s="376"/>
    </row>
    <row r="1749" spans="2:9">
      <c r="C1749" s="72" t="s">
        <v>1162</v>
      </c>
      <c r="D1749" s="73" t="s">
        <v>748</v>
      </c>
      <c r="E1749" s="74">
        <v>30</v>
      </c>
      <c r="F1749" s="160">
        <v>21.705468750000001</v>
      </c>
      <c r="G1749" s="164">
        <f>E1749*F1749</f>
        <v>651.1640625</v>
      </c>
      <c r="H1749" s="300">
        <f>G1749*I7</f>
        <v>55023.36328125</v>
      </c>
      <c r="I1749" s="376"/>
    </row>
    <row r="1750" spans="2:9">
      <c r="C1750" s="72" t="s">
        <v>459</v>
      </c>
      <c r="D1750" s="73" t="s">
        <v>748</v>
      </c>
      <c r="E1750" s="74">
        <v>30</v>
      </c>
      <c r="F1750" s="160">
        <v>2.8940625</v>
      </c>
      <c r="G1750" s="164">
        <f>E1750*F1750</f>
        <v>86.821875000000006</v>
      </c>
      <c r="H1750" s="300">
        <f>G1750*I7</f>
        <v>7336.4484375000002</v>
      </c>
      <c r="I1750" s="376"/>
    </row>
    <row r="1751" spans="2:9" s="79" customFormat="1">
      <c r="C1751" s="216" t="s">
        <v>867</v>
      </c>
      <c r="D1751" s="104"/>
      <c r="E1751" s="82"/>
      <c r="F1751" s="82"/>
      <c r="G1751" s="164">
        <f>SUM(G1746:G1750)*25%</f>
        <v>409.49648437500002</v>
      </c>
      <c r="H1751" s="300">
        <f>G1751*I7</f>
        <v>34602.452929687504</v>
      </c>
      <c r="I1751" s="445"/>
    </row>
    <row r="1752" spans="2:9">
      <c r="C1752" s="233" t="s">
        <v>926</v>
      </c>
      <c r="D1752" s="220"/>
      <c r="E1752" s="229"/>
      <c r="F1752" s="229"/>
      <c r="G1752" s="240">
        <f>SUM(G1746:G1751)*1.05</f>
        <v>2149.8565429687501</v>
      </c>
      <c r="H1752" s="240">
        <f>G1752*I7</f>
        <v>181662.87788085939</v>
      </c>
      <c r="I1752" s="376"/>
    </row>
    <row r="1753" spans="2:9" ht="15.75" thickBot="1">
      <c r="C1753" s="710" t="s">
        <v>1031</v>
      </c>
      <c r="D1753" s="711"/>
      <c r="E1753" s="711"/>
      <c r="F1753" s="711"/>
      <c r="G1753" s="711"/>
      <c r="H1753" s="735"/>
      <c r="I1753" s="712"/>
    </row>
    <row r="1754" spans="2:9">
      <c r="C1754" s="187"/>
      <c r="D1754" s="188"/>
      <c r="E1754" s="188"/>
      <c r="F1754" s="188"/>
      <c r="G1754" s="292"/>
      <c r="H1754" s="292"/>
    </row>
    <row r="1755" spans="2:9" ht="15.75" thickBot="1">
      <c r="C1755" s="187"/>
      <c r="D1755" s="188"/>
      <c r="E1755" s="188"/>
      <c r="F1755" s="188"/>
      <c r="G1755" s="292"/>
      <c r="H1755" s="292"/>
    </row>
    <row r="1756" spans="2:9">
      <c r="B1756" s="79" t="str">
        <f>'Costed Impl plan'!B226</f>
        <v>4.3.6</v>
      </c>
      <c r="C1756" s="704" t="str">
        <f>'Costed Impl plan'!C226</f>
        <v xml:space="preserve">M&amp;E training for staff across the sector </v>
      </c>
      <c r="D1756" s="705"/>
      <c r="E1756" s="705"/>
      <c r="F1756" s="705"/>
      <c r="G1756" s="705"/>
      <c r="H1756" s="713"/>
      <c r="I1756" s="706"/>
    </row>
    <row r="1757" spans="2:9" ht="30">
      <c r="C1757" s="131" t="s">
        <v>452</v>
      </c>
      <c r="D1757" s="113" t="s">
        <v>703</v>
      </c>
      <c r="E1757" s="113" t="s">
        <v>453</v>
      </c>
      <c r="F1757" s="113" t="s">
        <v>935</v>
      </c>
      <c r="G1757" s="270" t="s">
        <v>932</v>
      </c>
      <c r="H1757" s="270" t="s">
        <v>933</v>
      </c>
      <c r="I1757" s="375" t="s">
        <v>651</v>
      </c>
    </row>
    <row r="1758" spans="2:9">
      <c r="C1758" s="72" t="s">
        <v>740</v>
      </c>
      <c r="D1758" s="73" t="s">
        <v>746</v>
      </c>
      <c r="E1758" s="74">
        <v>18</v>
      </c>
      <c r="F1758" s="74">
        <v>15</v>
      </c>
      <c r="G1758" s="164">
        <f>E1758*F1758</f>
        <v>270</v>
      </c>
      <c r="H1758" s="307">
        <f>G1758*I7</f>
        <v>22815</v>
      </c>
      <c r="I1758" s="715" t="s">
        <v>903</v>
      </c>
    </row>
    <row r="1759" spans="2:9">
      <c r="C1759" s="72" t="s">
        <v>741</v>
      </c>
      <c r="D1759" s="73" t="s">
        <v>747</v>
      </c>
      <c r="E1759" s="74">
        <f>150*3</f>
        <v>450</v>
      </c>
      <c r="F1759" s="74">
        <v>3.125</v>
      </c>
      <c r="G1759" s="164">
        <f>E1759*F1759</f>
        <v>1406.25</v>
      </c>
      <c r="H1759" s="307">
        <f>G1759*I7</f>
        <v>118828.125</v>
      </c>
      <c r="I1759" s="716"/>
    </row>
    <row r="1760" spans="2:9">
      <c r="C1760" s="72" t="s">
        <v>742</v>
      </c>
      <c r="D1760" s="73" t="s">
        <v>747</v>
      </c>
      <c r="E1760" s="74">
        <f>150*4.5</f>
        <v>675</v>
      </c>
      <c r="F1760" s="74">
        <v>18.75</v>
      </c>
      <c r="G1760" s="164">
        <f t="shared" ref="G1760:G1764" si="32">E1760*F1760</f>
        <v>12656.25</v>
      </c>
      <c r="H1760" s="307">
        <f>G1760*I7</f>
        <v>1069453.125</v>
      </c>
      <c r="I1760" s="716"/>
    </row>
    <row r="1761" spans="2:9">
      <c r="C1761" s="72" t="s">
        <v>713</v>
      </c>
      <c r="D1761" s="73" t="s">
        <v>748</v>
      </c>
      <c r="E1761" s="74">
        <v>150</v>
      </c>
      <c r="F1761" s="74">
        <v>18.75</v>
      </c>
      <c r="G1761" s="164">
        <f t="shared" si="32"/>
        <v>2812.5</v>
      </c>
      <c r="H1761" s="307">
        <f>G1761*I7</f>
        <v>237656.25</v>
      </c>
      <c r="I1761" s="716"/>
    </row>
    <row r="1762" spans="2:9">
      <c r="C1762" s="72" t="s">
        <v>743</v>
      </c>
      <c r="D1762" s="73" t="s">
        <v>748</v>
      </c>
      <c r="E1762" s="74">
        <v>150</v>
      </c>
      <c r="F1762" s="74">
        <v>0.75</v>
      </c>
      <c r="G1762" s="164">
        <f t="shared" si="32"/>
        <v>112.5</v>
      </c>
      <c r="H1762" s="307">
        <f>G1762*I7</f>
        <v>9506.25</v>
      </c>
      <c r="I1762" s="716"/>
    </row>
    <row r="1763" spans="2:9">
      <c r="C1763" s="72" t="s">
        <v>744</v>
      </c>
      <c r="D1763" s="73" t="s">
        <v>748</v>
      </c>
      <c r="E1763" s="74">
        <v>150</v>
      </c>
      <c r="F1763" s="74">
        <v>0.625</v>
      </c>
      <c r="G1763" s="164">
        <f t="shared" si="32"/>
        <v>93.75</v>
      </c>
      <c r="H1763" s="307">
        <f>G1763*I7</f>
        <v>7921.875</v>
      </c>
      <c r="I1763" s="716"/>
    </row>
    <row r="1764" spans="2:9">
      <c r="C1764" s="72" t="s">
        <v>745</v>
      </c>
      <c r="D1764" s="73" t="s">
        <v>746</v>
      </c>
      <c r="E1764" s="74">
        <v>18</v>
      </c>
      <c r="F1764" s="74">
        <v>32</v>
      </c>
      <c r="G1764" s="164">
        <f t="shared" si="32"/>
        <v>576</v>
      </c>
      <c r="H1764" s="307">
        <f>G1764*I7</f>
        <v>48672</v>
      </c>
      <c r="I1764" s="717"/>
    </row>
    <row r="1765" spans="2:9" s="79" customFormat="1">
      <c r="C1765" s="216" t="s">
        <v>867</v>
      </c>
      <c r="D1765" s="82"/>
      <c r="E1765" s="82"/>
      <c r="F1765" s="82"/>
      <c r="G1765" s="164">
        <f>SUM(G1758:G1764)*25%</f>
        <v>4481.8125</v>
      </c>
      <c r="H1765" s="307">
        <f>G1765*I7</f>
        <v>378713.15625</v>
      </c>
      <c r="I1765" s="445"/>
    </row>
    <row r="1766" spans="2:9" s="79" customFormat="1">
      <c r="C1766" s="77" t="s">
        <v>904</v>
      </c>
      <c r="D1766" s="82"/>
      <c r="E1766" s="82"/>
      <c r="F1766" s="82"/>
      <c r="G1766" s="267">
        <f>SUM(G1758:G1765)*1.05</f>
        <v>23529.515625</v>
      </c>
      <c r="H1766" s="308">
        <f>G1766*I7</f>
        <v>1988244.0703125</v>
      </c>
      <c r="I1766" s="445"/>
    </row>
    <row r="1767" spans="2:9">
      <c r="C1767" s="233" t="s">
        <v>506</v>
      </c>
      <c r="D1767" s="220"/>
      <c r="E1767" s="229"/>
      <c r="F1767" s="229"/>
      <c r="G1767" s="240">
        <f>G1766/150</f>
        <v>156.8634375</v>
      </c>
      <c r="H1767" s="334">
        <f>G1767*I7</f>
        <v>13254.96046875</v>
      </c>
      <c r="I1767" s="376"/>
    </row>
    <row r="1768" spans="2:9" ht="15" customHeight="1" thickBot="1">
      <c r="C1768" s="710" t="s">
        <v>1031</v>
      </c>
      <c r="D1768" s="711"/>
      <c r="E1768" s="711"/>
      <c r="F1768" s="711"/>
      <c r="G1768" s="711"/>
      <c r="H1768" s="735"/>
      <c r="I1768" s="712"/>
    </row>
    <row r="1769" spans="2:9">
      <c r="C1769" s="187"/>
      <c r="D1769" s="188"/>
      <c r="E1769" s="188"/>
      <c r="F1769" s="188"/>
      <c r="G1769" s="292"/>
      <c r="H1769" s="292"/>
    </row>
    <row r="1770" spans="2:9" ht="15.75" thickBot="1">
      <c r="C1770" s="187"/>
      <c r="D1770" s="188"/>
      <c r="E1770" s="188"/>
      <c r="F1770" s="188"/>
      <c r="G1770" s="292"/>
      <c r="H1770" s="292"/>
    </row>
    <row r="1771" spans="2:9" s="171" customFormat="1" ht="15" customHeight="1">
      <c r="B1771" s="170" t="str">
        <f>'Costed Impl plan'!B227</f>
        <v>4.3.7</v>
      </c>
      <c r="C1771" s="774" t="str">
        <f>'Costed Impl plan'!C227</f>
        <v xml:space="preserve">Print and dissemination of National AIDS M&amp;E plan </v>
      </c>
      <c r="D1771" s="775"/>
      <c r="E1771" s="775"/>
      <c r="F1771" s="775"/>
      <c r="G1771" s="775"/>
      <c r="H1771" s="782"/>
      <c r="I1771" s="776"/>
    </row>
    <row r="1772" spans="2:9" s="171" customFormat="1" ht="30">
      <c r="B1772" s="170"/>
      <c r="C1772" s="414" t="s">
        <v>452</v>
      </c>
      <c r="D1772" s="190" t="s">
        <v>703</v>
      </c>
      <c r="E1772" s="190" t="s">
        <v>453</v>
      </c>
      <c r="F1772" s="190" t="s">
        <v>935</v>
      </c>
      <c r="G1772" s="293" t="s">
        <v>932</v>
      </c>
      <c r="H1772" s="293" t="s">
        <v>933</v>
      </c>
      <c r="I1772" s="419" t="s">
        <v>651</v>
      </c>
    </row>
    <row r="1773" spans="2:9" s="171" customFormat="1">
      <c r="B1773" s="170"/>
      <c r="C1773" s="438" t="s">
        <v>831</v>
      </c>
      <c r="D1773" s="152"/>
      <c r="E1773" s="152">
        <v>500</v>
      </c>
      <c r="F1773" s="152">
        <v>7.5</v>
      </c>
      <c r="G1773" s="279">
        <f>E1773*F1773</f>
        <v>3750</v>
      </c>
      <c r="H1773" s="312">
        <f>G1773*I7</f>
        <v>316875</v>
      </c>
      <c r="I1773" s="388"/>
    </row>
    <row r="1774" spans="2:9" s="170" customFormat="1" ht="30">
      <c r="C1774" s="439" t="s">
        <v>838</v>
      </c>
      <c r="D1774" s="152" t="s">
        <v>862</v>
      </c>
      <c r="E1774" s="152">
        <v>120</v>
      </c>
      <c r="F1774" s="454">
        <v>50</v>
      </c>
      <c r="G1774" s="279">
        <f>E1774*F1774</f>
        <v>6000</v>
      </c>
      <c r="H1774" s="312">
        <f>G1774*I7</f>
        <v>507000</v>
      </c>
      <c r="I1774" s="472" t="s">
        <v>844</v>
      </c>
    </row>
    <row r="1775" spans="2:9" s="170" customFormat="1">
      <c r="C1775" s="458" t="s">
        <v>867</v>
      </c>
      <c r="D1775" s="87"/>
      <c r="E1775" s="87"/>
      <c r="F1775" s="87"/>
      <c r="G1775" s="279">
        <f>SUM(G1773:G1774)*25%</f>
        <v>2437.5</v>
      </c>
      <c r="H1775" s="312">
        <f>G1775*I7</f>
        <v>205968.75</v>
      </c>
      <c r="I1775" s="390"/>
    </row>
    <row r="1776" spans="2:9" s="171" customFormat="1">
      <c r="B1776" s="170"/>
      <c r="C1776" s="91" t="s">
        <v>900</v>
      </c>
      <c r="D1776" s="87"/>
      <c r="E1776" s="152"/>
      <c r="F1776" s="152"/>
      <c r="G1776" s="206">
        <f>SUM(G1773:G1775)*1.05</f>
        <v>12796.875</v>
      </c>
      <c r="H1776" s="301">
        <f>G1776*I7</f>
        <v>1081335.9375</v>
      </c>
      <c r="I1776" s="388"/>
    </row>
    <row r="1777" spans="2:9" s="171" customFormat="1" ht="15.75" thickBot="1">
      <c r="B1777" s="170"/>
      <c r="C1777" s="710" t="s">
        <v>1031</v>
      </c>
      <c r="D1777" s="711"/>
      <c r="E1777" s="711"/>
      <c r="F1777" s="711"/>
      <c r="G1777" s="711"/>
      <c r="H1777" s="735"/>
      <c r="I1777" s="712"/>
    </row>
    <row r="1778" spans="2:9">
      <c r="C1778" s="187"/>
      <c r="D1778" s="188"/>
      <c r="E1778" s="188"/>
      <c r="F1778" s="188"/>
      <c r="G1778" s="292"/>
      <c r="H1778" s="292"/>
    </row>
    <row r="1779" spans="2:9" ht="15.75" thickBot="1">
      <c r="C1779" s="187"/>
      <c r="D1779" s="188"/>
      <c r="E1779" s="188"/>
      <c r="F1779" s="188"/>
      <c r="G1779" s="292"/>
      <c r="H1779" s="292"/>
    </row>
    <row r="1780" spans="2:9" ht="15" customHeight="1">
      <c r="B1780" s="79" t="str">
        <f>'Costed Impl plan'!B228</f>
        <v>4.3.8</v>
      </c>
      <c r="C1780" s="704" t="str">
        <f>'Costed Impl plan'!C228</f>
        <v>Conduct regular M&amp;E visits to assess quality (third party monitoring may be considered)</v>
      </c>
      <c r="D1780" s="705"/>
      <c r="E1780" s="705"/>
      <c r="F1780" s="705"/>
      <c r="G1780" s="705"/>
      <c r="H1780" s="713"/>
      <c r="I1780" s="706"/>
    </row>
    <row r="1781" spans="2:9">
      <c r="C1781" s="728" t="s">
        <v>1040</v>
      </c>
      <c r="D1781" s="729"/>
      <c r="E1781" s="729"/>
      <c r="F1781" s="729"/>
      <c r="G1781" s="729"/>
      <c r="H1781" s="324"/>
      <c r="I1781" s="376"/>
    </row>
    <row r="1782" spans="2:9" ht="30">
      <c r="C1782" s="131" t="s">
        <v>452</v>
      </c>
      <c r="D1782" s="113" t="s">
        <v>703</v>
      </c>
      <c r="E1782" s="113" t="s">
        <v>453</v>
      </c>
      <c r="F1782" s="113" t="s">
        <v>935</v>
      </c>
      <c r="G1782" s="270" t="s">
        <v>932</v>
      </c>
      <c r="H1782" s="270" t="s">
        <v>933</v>
      </c>
      <c r="I1782" s="375" t="s">
        <v>651</v>
      </c>
    </row>
    <row r="1783" spans="2:9">
      <c r="C1783" s="204" t="s">
        <v>587</v>
      </c>
      <c r="D1783" s="73" t="s">
        <v>840</v>
      </c>
      <c r="E1783" s="74"/>
      <c r="F1783" s="74"/>
      <c r="G1783" s="277"/>
      <c r="H1783" s="310"/>
      <c r="I1783" s="376" t="s">
        <v>841</v>
      </c>
    </row>
    <row r="1784" spans="2:9">
      <c r="C1784" s="204" t="s">
        <v>713</v>
      </c>
      <c r="D1784" s="73" t="s">
        <v>840</v>
      </c>
      <c r="E1784" s="74"/>
      <c r="F1784" s="74"/>
      <c r="G1784" s="277"/>
      <c r="H1784" s="310"/>
      <c r="I1784" s="376"/>
    </row>
    <row r="1785" spans="2:9">
      <c r="C1785" s="204" t="s">
        <v>839</v>
      </c>
      <c r="D1785" s="73" t="s">
        <v>840</v>
      </c>
      <c r="E1785" s="74"/>
      <c r="F1785" s="74"/>
      <c r="G1785" s="277"/>
      <c r="H1785" s="310"/>
      <c r="I1785" s="376" t="s">
        <v>357</v>
      </c>
    </row>
    <row r="1786" spans="2:9" s="79" customFormat="1">
      <c r="C1786" s="216" t="s">
        <v>867</v>
      </c>
      <c r="D1786" s="82"/>
      <c r="E1786" s="82"/>
      <c r="F1786" s="82"/>
      <c r="G1786" s="164"/>
      <c r="H1786" s="310"/>
      <c r="I1786" s="445"/>
    </row>
    <row r="1787" spans="2:9">
      <c r="C1787" s="219" t="s">
        <v>630</v>
      </c>
      <c r="D1787" s="220"/>
      <c r="E1787" s="229"/>
      <c r="F1787" s="229"/>
      <c r="G1787" s="273">
        <v>300</v>
      </c>
      <c r="H1787" s="333">
        <f>G1787*I7</f>
        <v>25350</v>
      </c>
      <c r="I1787" s="376"/>
    </row>
    <row r="1788" spans="2:9" ht="15" customHeight="1" thickBot="1">
      <c r="C1788" s="710" t="s">
        <v>1110</v>
      </c>
      <c r="D1788" s="711"/>
      <c r="E1788" s="711"/>
      <c r="F1788" s="711"/>
      <c r="G1788" s="711"/>
      <c r="H1788" s="711"/>
      <c r="I1788" s="712"/>
    </row>
    <row r="1789" spans="2:9">
      <c r="C1789" s="187"/>
      <c r="D1789" s="188"/>
      <c r="E1789" s="188"/>
      <c r="F1789" s="188"/>
      <c r="G1789" s="292"/>
      <c r="H1789" s="292"/>
    </row>
    <row r="1790" spans="2:9" ht="15.75" thickBot="1">
      <c r="C1790" s="187"/>
      <c r="D1790" s="188"/>
      <c r="E1790" s="188"/>
      <c r="F1790" s="188"/>
      <c r="G1790" s="292"/>
      <c r="H1790" s="292"/>
    </row>
    <row r="1791" spans="2:9" ht="15" customHeight="1">
      <c r="B1791" s="79" t="str">
        <f>'Costed Impl plan'!B229</f>
        <v>4.3.9</v>
      </c>
      <c r="C1791" s="704" t="s">
        <v>1041</v>
      </c>
      <c r="D1791" s="705"/>
      <c r="E1791" s="705"/>
      <c r="F1791" s="705"/>
      <c r="G1791" s="705"/>
      <c r="H1791" s="713"/>
      <c r="I1791" s="706"/>
    </row>
    <row r="1792" spans="2:9">
      <c r="C1792" s="728" t="s">
        <v>1043</v>
      </c>
      <c r="D1792" s="729"/>
      <c r="E1792" s="729"/>
      <c r="F1792" s="729"/>
      <c r="G1792" s="729"/>
      <c r="H1792" s="324"/>
      <c r="I1792" s="376"/>
    </row>
    <row r="1793" spans="2:11">
      <c r="C1793" s="219" t="s">
        <v>631</v>
      </c>
      <c r="D1793" s="220"/>
      <c r="E1793" s="229"/>
      <c r="F1793" s="229"/>
      <c r="G1793" s="240">
        <v>5000</v>
      </c>
      <c r="H1793" s="314">
        <f>G1793*I7</f>
        <v>422500</v>
      </c>
      <c r="I1793" s="376"/>
    </row>
    <row r="1794" spans="2:11" ht="15" customHeight="1" thickBot="1">
      <c r="C1794" s="710" t="s">
        <v>1032</v>
      </c>
      <c r="D1794" s="711"/>
      <c r="E1794" s="711"/>
      <c r="F1794" s="711"/>
      <c r="G1794" s="711"/>
      <c r="H1794" s="735"/>
      <c r="I1794" s="712"/>
    </row>
    <row r="1795" spans="2:11">
      <c r="C1795" s="187"/>
      <c r="D1795" s="188"/>
      <c r="E1795" s="188"/>
      <c r="F1795" s="188"/>
      <c r="G1795" s="292"/>
      <c r="H1795" s="292"/>
    </row>
    <row r="1796" spans="2:11" ht="15.75" thickBot="1">
      <c r="C1796" s="187"/>
      <c r="D1796" s="188"/>
      <c r="E1796" s="188"/>
      <c r="F1796" s="188"/>
      <c r="G1796" s="292"/>
      <c r="H1796" s="292"/>
    </row>
    <row r="1797" spans="2:11" s="171" customFormat="1" ht="22.5" customHeight="1">
      <c r="B1797" s="170" t="str">
        <f>'Costed Impl plan'!B230</f>
        <v>4.3.10</v>
      </c>
      <c r="C1797" s="774" t="str">
        <f>'Costed Impl plan'!C230</f>
        <v>Conduct evaluation of design and effectiveness of current targeted interventions</v>
      </c>
      <c r="D1797" s="775"/>
      <c r="E1797" s="775"/>
      <c r="F1797" s="775"/>
      <c r="G1797" s="775"/>
      <c r="H1797" s="782"/>
      <c r="I1797" s="776"/>
    </row>
    <row r="1798" spans="2:11" s="171" customFormat="1" ht="36.6" customHeight="1">
      <c r="B1798" s="170"/>
      <c r="C1798" s="793" t="s">
        <v>1042</v>
      </c>
      <c r="D1798" s="794"/>
      <c r="E1798" s="794"/>
      <c r="F1798" s="794"/>
      <c r="G1798" s="794"/>
      <c r="H1798" s="794"/>
      <c r="I1798" s="795"/>
      <c r="K1798" s="473"/>
    </row>
    <row r="1799" spans="2:11" s="171" customFormat="1">
      <c r="B1799" s="170"/>
      <c r="C1799" s="728" t="s">
        <v>1044</v>
      </c>
      <c r="D1799" s="729"/>
      <c r="E1799" s="729"/>
      <c r="F1799" s="729"/>
      <c r="G1799" s="729"/>
      <c r="H1799" s="501"/>
      <c r="I1799" s="502"/>
      <c r="K1799" s="473"/>
    </row>
    <row r="1800" spans="2:11" s="171" customFormat="1">
      <c r="B1800" s="170"/>
      <c r="C1800" s="91" t="s">
        <v>625</v>
      </c>
      <c r="D1800" s="87"/>
      <c r="E1800" s="152"/>
      <c r="F1800" s="152"/>
      <c r="G1800" s="206">
        <v>235000</v>
      </c>
      <c r="H1800" s="301">
        <f>G1800*I7</f>
        <v>19857500</v>
      </c>
      <c r="I1800" s="388"/>
    </row>
    <row r="1801" spans="2:11" s="171" customFormat="1" ht="15.75" thickBot="1">
      <c r="B1801" s="170"/>
      <c r="C1801" s="710" t="s">
        <v>1032</v>
      </c>
      <c r="D1801" s="711"/>
      <c r="E1801" s="711"/>
      <c r="F1801" s="711"/>
      <c r="G1801" s="711"/>
      <c r="H1801" s="735"/>
      <c r="I1801" s="712"/>
    </row>
    <row r="1802" spans="2:11">
      <c r="C1802" s="187"/>
      <c r="D1802" s="188"/>
      <c r="E1802" s="188"/>
      <c r="F1802" s="188"/>
      <c r="G1802" s="292"/>
      <c r="H1802" s="292"/>
    </row>
    <row r="1803" spans="2:11">
      <c r="C1803" s="187"/>
      <c r="D1803" s="188"/>
      <c r="E1803" s="188"/>
      <c r="F1803" s="188"/>
      <c r="G1803" s="292"/>
      <c r="H1803" s="292"/>
    </row>
    <row r="1804" spans="2:11" ht="20.25" customHeight="1">
      <c r="B1804" s="79" t="str">
        <f>'Costed Impl plan'!B233</f>
        <v>4.4.1</v>
      </c>
      <c r="C1804" s="753" t="str">
        <f>'Costed Impl plan'!C233</f>
        <v>Implement HIV Mangement Information system</v>
      </c>
      <c r="D1804" s="753"/>
      <c r="E1804" s="753"/>
      <c r="F1804" s="753"/>
      <c r="G1804" s="753"/>
      <c r="H1804" s="248"/>
    </row>
    <row r="1805" spans="2:11" ht="15.75" thickBot="1">
      <c r="C1805" s="187"/>
      <c r="D1805" s="188"/>
      <c r="E1805" s="188"/>
      <c r="F1805" s="188"/>
      <c r="G1805" s="292"/>
      <c r="H1805" s="292"/>
    </row>
    <row r="1806" spans="2:11">
      <c r="B1806" s="79" t="str">
        <f>'Costed Impl plan'!B234</f>
        <v>4.4.1.1</v>
      </c>
      <c r="C1806" s="704" t="str">
        <f>'Costed Impl plan'!C234</f>
        <v>Development/update and installation of software</v>
      </c>
      <c r="D1806" s="705"/>
      <c r="E1806" s="705"/>
      <c r="F1806" s="705"/>
      <c r="G1806" s="705"/>
      <c r="H1806" s="713"/>
      <c r="I1806" s="706"/>
    </row>
    <row r="1807" spans="2:11" ht="30">
      <c r="C1807" s="131" t="s">
        <v>452</v>
      </c>
      <c r="D1807" s="113" t="s">
        <v>703</v>
      </c>
      <c r="E1807" s="113" t="s">
        <v>453</v>
      </c>
      <c r="F1807" s="113" t="s">
        <v>935</v>
      </c>
      <c r="G1807" s="270" t="s">
        <v>932</v>
      </c>
      <c r="H1807" s="270" t="s">
        <v>933</v>
      </c>
      <c r="I1807" s="375" t="s">
        <v>651</v>
      </c>
    </row>
    <row r="1808" spans="2:11">
      <c r="C1808" s="77" t="s">
        <v>842</v>
      </c>
      <c r="D1808" s="74"/>
      <c r="E1808" s="74"/>
      <c r="F1808" s="74"/>
      <c r="G1808" s="164"/>
      <c r="H1808" s="300"/>
      <c r="I1808" s="376"/>
    </row>
    <row r="1809" spans="2:9">
      <c r="C1809" s="150" t="s">
        <v>714</v>
      </c>
      <c r="D1809" s="74" t="s">
        <v>706</v>
      </c>
      <c r="E1809" s="74">
        <v>50</v>
      </c>
      <c r="F1809" s="74">
        <v>200</v>
      </c>
      <c r="G1809" s="164">
        <f>E1809*F1809</f>
        <v>10000</v>
      </c>
      <c r="H1809" s="300">
        <f>G1809*I7</f>
        <v>845000</v>
      </c>
      <c r="I1809" s="376"/>
    </row>
    <row r="1810" spans="2:9">
      <c r="C1810" s="150" t="s">
        <v>829</v>
      </c>
      <c r="D1810" s="74" t="s">
        <v>706</v>
      </c>
      <c r="E1810" s="74">
        <v>15</v>
      </c>
      <c r="F1810" s="74">
        <f>1500/80</f>
        <v>18.75</v>
      </c>
      <c r="G1810" s="164">
        <f>E1810*F1810</f>
        <v>281.25</v>
      </c>
      <c r="H1810" s="300">
        <f>G1810*I7</f>
        <v>23765.625</v>
      </c>
      <c r="I1810" s="376"/>
    </row>
    <row r="1811" spans="2:9" s="79" customFormat="1">
      <c r="C1811" s="75" t="s">
        <v>715</v>
      </c>
      <c r="D1811" s="82"/>
      <c r="E1811" s="82"/>
      <c r="F1811" s="82"/>
      <c r="G1811" s="267">
        <f>SUM(G1809:G1810)</f>
        <v>10281.25</v>
      </c>
      <c r="H1811" s="299">
        <f>G1811*I7</f>
        <v>868765.625</v>
      </c>
      <c r="I1811" s="445"/>
    </row>
    <row r="1812" spans="2:9">
      <c r="C1812" s="72" t="s">
        <v>445</v>
      </c>
      <c r="D1812" s="74" t="s">
        <v>843</v>
      </c>
      <c r="E1812" s="189">
        <v>1</v>
      </c>
      <c r="F1812" s="189">
        <v>10000</v>
      </c>
      <c r="G1812" s="293">
        <f>E1812*F1812</f>
        <v>10000</v>
      </c>
      <c r="H1812" s="299">
        <f>G1812*I7</f>
        <v>845000</v>
      </c>
      <c r="I1812" s="376"/>
    </row>
    <row r="1813" spans="2:9" ht="30">
      <c r="C1813" s="151" t="s">
        <v>838</v>
      </c>
      <c r="D1813" s="74" t="s">
        <v>862</v>
      </c>
      <c r="E1813" s="74">
        <v>100</v>
      </c>
      <c r="F1813" s="160">
        <v>50</v>
      </c>
      <c r="G1813" s="267">
        <f>E1813*F1813</f>
        <v>5000</v>
      </c>
      <c r="H1813" s="299">
        <f>G1813*I7</f>
        <v>422500</v>
      </c>
      <c r="I1813" s="464" t="s">
        <v>806</v>
      </c>
    </row>
    <row r="1814" spans="2:9">
      <c r="C1814" s="216" t="s">
        <v>867</v>
      </c>
      <c r="D1814" s="112"/>
      <c r="E1814" s="112"/>
      <c r="F1814" s="112"/>
      <c r="G1814" s="272">
        <f>SUM(G1811:G1813)*15%</f>
        <v>3792.1875</v>
      </c>
      <c r="H1814" s="299">
        <f>G1814*I7</f>
        <v>320439.84375</v>
      </c>
      <c r="I1814" s="376"/>
    </row>
    <row r="1815" spans="2:9" s="79" customFormat="1">
      <c r="C1815" s="219" t="s">
        <v>808</v>
      </c>
      <c r="D1815" s="220"/>
      <c r="E1815" s="220"/>
      <c r="F1815" s="220"/>
      <c r="G1815" s="240">
        <f>SUM(G1811:G1814)*1.05</f>
        <v>30527.109375</v>
      </c>
      <c r="H1815" s="314">
        <f>G1815*I7</f>
        <v>2579540.7421875</v>
      </c>
      <c r="I1815" s="445"/>
    </row>
    <row r="1816" spans="2:9" ht="15.75" thickBot="1">
      <c r="C1816" s="710" t="s">
        <v>1031</v>
      </c>
      <c r="D1816" s="711"/>
      <c r="E1816" s="711"/>
      <c r="F1816" s="711"/>
      <c r="G1816" s="711"/>
      <c r="H1816" s="735"/>
      <c r="I1816" s="712"/>
    </row>
    <row r="1817" spans="2:9">
      <c r="C1817" s="187"/>
      <c r="D1817" s="188"/>
      <c r="E1817" s="188"/>
      <c r="F1817" s="188"/>
      <c r="G1817" s="292"/>
      <c r="H1817" s="292"/>
    </row>
    <row r="1818" spans="2:9" ht="15.75" thickBot="1">
      <c r="C1818" s="187"/>
      <c r="D1818" s="188"/>
      <c r="E1818" s="188"/>
      <c r="F1818" s="188"/>
      <c r="G1818" s="292"/>
      <c r="H1818" s="292"/>
    </row>
    <row r="1819" spans="2:9" ht="15" customHeight="1">
      <c r="B1819" s="79" t="str">
        <f>'Costed Impl plan'!B235</f>
        <v>4.4.1.2</v>
      </c>
      <c r="C1819" s="704" t="s">
        <v>77</v>
      </c>
      <c r="D1819" s="705"/>
      <c r="E1819" s="705"/>
      <c r="F1819" s="705"/>
      <c r="G1819" s="705"/>
      <c r="H1819" s="713"/>
      <c r="I1819" s="706"/>
    </row>
    <row r="1820" spans="2:9" ht="30">
      <c r="C1820" s="131" t="s">
        <v>452</v>
      </c>
      <c r="D1820" s="113" t="s">
        <v>703</v>
      </c>
      <c r="E1820" s="113" t="s">
        <v>453</v>
      </c>
      <c r="F1820" s="113" t="s">
        <v>935</v>
      </c>
      <c r="G1820" s="270" t="s">
        <v>932</v>
      </c>
      <c r="H1820" s="270" t="s">
        <v>933</v>
      </c>
      <c r="I1820" s="375" t="s">
        <v>651</v>
      </c>
    </row>
    <row r="1821" spans="2:9">
      <c r="C1821" s="77" t="s">
        <v>728</v>
      </c>
      <c r="D1821" s="74"/>
      <c r="E1821" s="74"/>
      <c r="F1821" s="74"/>
      <c r="G1821" s="164"/>
      <c r="H1821" s="300"/>
      <c r="I1821" s="376"/>
    </row>
    <row r="1822" spans="2:9">
      <c r="C1822" s="150" t="s">
        <v>714</v>
      </c>
      <c r="D1822" s="74" t="s">
        <v>706</v>
      </c>
      <c r="E1822" s="74">
        <v>30</v>
      </c>
      <c r="F1822" s="74">
        <v>200</v>
      </c>
      <c r="G1822" s="164">
        <f>E1822*F1822</f>
        <v>6000</v>
      </c>
      <c r="H1822" s="300">
        <f>G1822*I7</f>
        <v>507000</v>
      </c>
      <c r="I1822" s="376"/>
    </row>
    <row r="1823" spans="2:9">
      <c r="C1823" s="150" t="s">
        <v>829</v>
      </c>
      <c r="D1823" s="74" t="s">
        <v>706</v>
      </c>
      <c r="E1823" s="74">
        <v>5</v>
      </c>
      <c r="F1823" s="74">
        <f>1500/80</f>
        <v>18.75</v>
      </c>
      <c r="G1823" s="164">
        <f>E1823*F1823</f>
        <v>93.75</v>
      </c>
      <c r="H1823" s="331">
        <f>G1823*I7</f>
        <v>7921.875</v>
      </c>
      <c r="I1823" s="376"/>
    </row>
    <row r="1824" spans="2:9" s="79" customFormat="1">
      <c r="C1824" s="75" t="s">
        <v>715</v>
      </c>
      <c r="D1824" s="82"/>
      <c r="E1824" s="82"/>
      <c r="F1824" s="82"/>
      <c r="G1824" s="267">
        <f>SUM(G1822:G1823)</f>
        <v>6093.75</v>
      </c>
      <c r="H1824" s="318">
        <f>G1824*I7</f>
        <v>514921.875</v>
      </c>
      <c r="I1824" s="445"/>
    </row>
    <row r="1825" spans="2:9" s="79" customFormat="1">
      <c r="C1825" s="216" t="s">
        <v>867</v>
      </c>
      <c r="D1825" s="82"/>
      <c r="E1825" s="82"/>
      <c r="F1825" s="224"/>
      <c r="G1825" s="164">
        <f>G1824*25%</f>
        <v>1523.4375</v>
      </c>
      <c r="H1825" s="318">
        <f>G1825*I7</f>
        <v>128730.46875</v>
      </c>
      <c r="I1825" s="377"/>
    </row>
    <row r="1826" spans="2:9" ht="15.75" thickBot="1">
      <c r="C1826" s="710" t="s">
        <v>1031</v>
      </c>
      <c r="D1826" s="711"/>
      <c r="E1826" s="711"/>
      <c r="F1826" s="711"/>
      <c r="G1826" s="711"/>
      <c r="H1826" s="735"/>
      <c r="I1826" s="712"/>
    </row>
    <row r="1827" spans="2:9">
      <c r="C1827" s="187"/>
      <c r="D1827" s="188"/>
      <c r="E1827" s="188"/>
      <c r="F1827" s="188"/>
      <c r="G1827" s="292"/>
      <c r="H1827" s="292"/>
    </row>
    <row r="1828" spans="2:9" ht="15.75" thickBot="1">
      <c r="C1828" s="187"/>
      <c r="D1828" s="188"/>
      <c r="E1828" s="188"/>
      <c r="F1828" s="188"/>
      <c r="G1828" s="292"/>
      <c r="H1828" s="292"/>
    </row>
    <row r="1829" spans="2:9">
      <c r="B1829" s="79" t="str">
        <f>'Costed Impl plan'!B236</f>
        <v>4.4.2</v>
      </c>
      <c r="C1829" s="774" t="str">
        <f>'Costed Impl plan'!C236</f>
        <v>Establish HIV reporting and maintain PLHIV database</v>
      </c>
      <c r="D1829" s="775"/>
      <c r="E1829" s="775"/>
      <c r="F1829" s="775"/>
      <c r="G1829" s="775"/>
      <c r="H1829" s="782"/>
      <c r="I1829" s="776"/>
    </row>
    <row r="1830" spans="2:9" ht="30">
      <c r="C1830" s="131" t="s">
        <v>452</v>
      </c>
      <c r="D1830" s="113" t="s">
        <v>703</v>
      </c>
      <c r="E1830" s="113" t="s">
        <v>453</v>
      </c>
      <c r="F1830" s="113" t="s">
        <v>935</v>
      </c>
      <c r="G1830" s="270" t="s">
        <v>932</v>
      </c>
      <c r="H1830" s="270" t="s">
        <v>933</v>
      </c>
      <c r="I1830" s="375" t="s">
        <v>651</v>
      </c>
    </row>
    <row r="1831" spans="2:9">
      <c r="C1831" s="77" t="s">
        <v>842</v>
      </c>
      <c r="D1831" s="74"/>
      <c r="E1831" s="74"/>
      <c r="F1831" s="74"/>
      <c r="G1831" s="164"/>
      <c r="H1831" s="300"/>
      <c r="I1831" s="376"/>
    </row>
    <row r="1832" spans="2:9">
      <c r="C1832" s="150" t="s">
        <v>714</v>
      </c>
      <c r="D1832" s="74" t="s">
        <v>706</v>
      </c>
      <c r="E1832" s="74">
        <v>60</v>
      </c>
      <c r="F1832" s="74">
        <v>200</v>
      </c>
      <c r="G1832" s="164">
        <f>E1832*F1832</f>
        <v>12000</v>
      </c>
      <c r="H1832" s="300">
        <f>G1832*I7</f>
        <v>1014000</v>
      </c>
      <c r="I1832" s="376"/>
    </row>
    <row r="1833" spans="2:9">
      <c r="C1833" s="150" t="s">
        <v>829</v>
      </c>
      <c r="D1833" s="74" t="s">
        <v>706</v>
      </c>
      <c r="E1833" s="74">
        <v>15</v>
      </c>
      <c r="F1833" s="74">
        <f>1500/80</f>
        <v>18.75</v>
      </c>
      <c r="G1833" s="164">
        <f>E1833*F1833</f>
        <v>281.25</v>
      </c>
      <c r="H1833" s="300">
        <f>G1833*I7</f>
        <v>23765.625</v>
      </c>
      <c r="I1833" s="376"/>
    </row>
    <row r="1834" spans="2:9" s="79" customFormat="1">
      <c r="C1834" s="75" t="s">
        <v>715</v>
      </c>
      <c r="D1834" s="82"/>
      <c r="E1834" s="82"/>
      <c r="F1834" s="82"/>
      <c r="G1834" s="267">
        <f>SUM(G1832:G1833)</f>
        <v>12281.25</v>
      </c>
      <c r="H1834" s="299">
        <f>G1834*I7</f>
        <v>1037765.625</v>
      </c>
      <c r="I1834" s="445"/>
    </row>
    <row r="1835" spans="2:9">
      <c r="C1835" s="72" t="s">
        <v>445</v>
      </c>
      <c r="D1835" s="74" t="s">
        <v>843</v>
      </c>
      <c r="E1835" s="189">
        <v>1</v>
      </c>
      <c r="F1835" s="189">
        <v>10000</v>
      </c>
      <c r="G1835" s="293">
        <f>E1835*F1835</f>
        <v>10000</v>
      </c>
      <c r="H1835" s="299">
        <f>G1835*I7</f>
        <v>845000</v>
      </c>
      <c r="I1835" s="376"/>
    </row>
    <row r="1836" spans="2:9" ht="30">
      <c r="C1836" s="151" t="s">
        <v>838</v>
      </c>
      <c r="D1836" s="74" t="s">
        <v>862</v>
      </c>
      <c r="E1836" s="74">
        <v>100</v>
      </c>
      <c r="F1836" s="160">
        <v>50</v>
      </c>
      <c r="G1836" s="267">
        <f>E1836*F1836</f>
        <v>5000</v>
      </c>
      <c r="H1836" s="299">
        <f>G1836*I7</f>
        <v>422500</v>
      </c>
      <c r="I1836" s="464" t="s">
        <v>806</v>
      </c>
    </row>
    <row r="1837" spans="2:9">
      <c r="C1837" s="216" t="s">
        <v>867</v>
      </c>
      <c r="D1837" s="112"/>
      <c r="E1837" s="112"/>
      <c r="F1837" s="112"/>
      <c r="G1837" s="272">
        <f>SUM(G1834:G1836)*25%</f>
        <v>6820.3125</v>
      </c>
      <c r="H1837" s="299">
        <f>G1837*I7</f>
        <v>576316.40625</v>
      </c>
      <c r="I1837" s="376"/>
    </row>
    <row r="1838" spans="2:9">
      <c r="C1838" s="232" t="s">
        <v>901</v>
      </c>
      <c r="D1838" s="230"/>
      <c r="E1838" s="230"/>
      <c r="F1838" s="230"/>
      <c r="G1838" s="291">
        <f>SUM(G1834:G1837)*1.05</f>
        <v>35806.640625</v>
      </c>
      <c r="H1838" s="314">
        <f>G1838*I7</f>
        <v>3025661.1328125</v>
      </c>
      <c r="I1838" s="376"/>
    </row>
    <row r="1839" spans="2:9" ht="15.75" thickBot="1">
      <c r="C1839" s="710" t="s">
        <v>1031</v>
      </c>
      <c r="D1839" s="711"/>
      <c r="E1839" s="711"/>
      <c r="F1839" s="711"/>
      <c r="G1839" s="711"/>
      <c r="H1839" s="735"/>
      <c r="I1839" s="712"/>
    </row>
    <row r="1840" spans="2:9">
      <c r="C1840" s="187"/>
      <c r="D1840" s="188"/>
      <c r="E1840" s="188"/>
      <c r="F1840" s="188"/>
      <c r="G1840" s="292"/>
      <c r="H1840" s="292"/>
    </row>
    <row r="1841" spans="2:9">
      <c r="C1841" s="187"/>
      <c r="D1841" s="188"/>
      <c r="E1841" s="188"/>
      <c r="F1841" s="188"/>
      <c r="G1841" s="292"/>
      <c r="H1841" s="292"/>
    </row>
    <row r="1842" spans="2:9" ht="15.75" thickBot="1">
      <c r="C1842" s="187"/>
      <c r="D1842" s="188"/>
      <c r="E1842" s="188"/>
      <c r="F1842" s="188"/>
      <c r="G1842" s="292"/>
      <c r="H1842" s="292"/>
    </row>
    <row r="1843" spans="2:9" ht="31.5" customHeight="1">
      <c r="B1843" s="80" t="str">
        <f>'Costed Impl plan'!B237</f>
        <v>4.4.3</v>
      </c>
      <c r="C1843" s="774" t="str">
        <f>'Costed Impl plan'!C237</f>
        <v>Number of times per year HIV web based site for dissemination of HIV strategic information is updated</v>
      </c>
      <c r="D1843" s="775"/>
      <c r="E1843" s="775"/>
      <c r="F1843" s="775"/>
      <c r="G1843" s="775"/>
      <c r="H1843" s="782"/>
      <c r="I1843" s="776"/>
    </row>
    <row r="1844" spans="2:9" ht="30">
      <c r="C1844" s="131" t="s">
        <v>452</v>
      </c>
      <c r="D1844" s="113" t="s">
        <v>703</v>
      </c>
      <c r="E1844" s="113" t="s">
        <v>453</v>
      </c>
      <c r="F1844" s="113" t="s">
        <v>935</v>
      </c>
      <c r="G1844" s="270" t="s">
        <v>932</v>
      </c>
      <c r="H1844" s="270" t="s">
        <v>933</v>
      </c>
      <c r="I1844" s="375" t="s">
        <v>651</v>
      </c>
    </row>
    <row r="1845" spans="2:9">
      <c r="C1845" s="77" t="s">
        <v>845</v>
      </c>
      <c r="D1845" s="74"/>
      <c r="E1845" s="74"/>
      <c r="F1845" s="74"/>
      <c r="G1845" s="164"/>
      <c r="H1845" s="300"/>
      <c r="I1845" s="376"/>
    </row>
    <row r="1846" spans="2:9">
      <c r="C1846" s="150" t="s">
        <v>714</v>
      </c>
      <c r="D1846" s="74" t="s">
        <v>706</v>
      </c>
      <c r="E1846" s="74">
        <v>10</v>
      </c>
      <c r="F1846" s="74">
        <v>200</v>
      </c>
      <c r="G1846" s="164">
        <f>E1846*F1846</f>
        <v>2000</v>
      </c>
      <c r="H1846" s="300">
        <f>G1846*I7</f>
        <v>169000</v>
      </c>
      <c r="I1846" s="376"/>
    </row>
    <row r="1847" spans="2:9">
      <c r="C1847" s="150" t="s">
        <v>829</v>
      </c>
      <c r="D1847" s="74" t="s">
        <v>706</v>
      </c>
      <c r="E1847" s="74">
        <v>2</v>
      </c>
      <c r="F1847" s="74">
        <f>1500/80</f>
        <v>18.75</v>
      </c>
      <c r="G1847" s="164">
        <f>E1847*F1847</f>
        <v>37.5</v>
      </c>
      <c r="H1847" s="331">
        <f>G1847*I7</f>
        <v>3168.75</v>
      </c>
      <c r="I1847" s="376"/>
    </row>
    <row r="1848" spans="2:9" s="79" customFormat="1">
      <c r="C1848" s="75" t="s">
        <v>715</v>
      </c>
      <c r="D1848" s="82"/>
      <c r="E1848" s="82"/>
      <c r="F1848" s="82"/>
      <c r="G1848" s="267">
        <f>SUM(G1846:G1847)</f>
        <v>2037.5</v>
      </c>
      <c r="H1848" s="318">
        <f>G1848*I7</f>
        <v>172168.75</v>
      </c>
      <c r="I1848" s="445"/>
    </row>
    <row r="1849" spans="2:9">
      <c r="C1849" s="72" t="s">
        <v>445</v>
      </c>
      <c r="D1849" s="74" t="s">
        <v>843</v>
      </c>
      <c r="E1849" s="189">
        <v>0</v>
      </c>
      <c r="F1849" s="189">
        <v>10000</v>
      </c>
      <c r="G1849" s="293">
        <f>E1849*F1849</f>
        <v>0</v>
      </c>
      <c r="H1849" s="299">
        <f>G1849*I7</f>
        <v>0</v>
      </c>
      <c r="I1849" s="376"/>
    </row>
    <row r="1850" spans="2:9" ht="30">
      <c r="C1850" s="151" t="s">
        <v>838</v>
      </c>
      <c r="D1850" s="74" t="s">
        <v>862</v>
      </c>
      <c r="E1850" s="74">
        <v>30</v>
      </c>
      <c r="F1850" s="160">
        <v>50</v>
      </c>
      <c r="G1850" s="267">
        <f>E1850*F1850</f>
        <v>1500</v>
      </c>
      <c r="H1850" s="318">
        <f>G1850*I7</f>
        <v>126750</v>
      </c>
      <c r="I1850" s="464" t="s">
        <v>846</v>
      </c>
    </row>
    <row r="1851" spans="2:9">
      <c r="C1851" s="216" t="s">
        <v>867</v>
      </c>
      <c r="D1851" s="112"/>
      <c r="E1851" s="112"/>
      <c r="F1851" s="112"/>
      <c r="G1851" s="272">
        <f>SUM(G1848:G1850)*25%</f>
        <v>884.375</v>
      </c>
      <c r="H1851" s="318">
        <f>G1851*I7</f>
        <v>74729.6875</v>
      </c>
      <c r="I1851" s="376"/>
    </row>
    <row r="1852" spans="2:9">
      <c r="C1852" s="232" t="s">
        <v>901</v>
      </c>
      <c r="D1852" s="230"/>
      <c r="E1852" s="230"/>
      <c r="F1852" s="230"/>
      <c r="G1852" s="291">
        <f>SUM(G1848:G1851)*1.05</f>
        <v>4642.96875</v>
      </c>
      <c r="H1852" s="332">
        <f>G1852*I7</f>
        <v>392330.859375</v>
      </c>
      <c r="I1852" s="376"/>
    </row>
    <row r="1853" spans="2:9" ht="15.75" thickBot="1">
      <c r="C1853" s="710" t="s">
        <v>1031</v>
      </c>
      <c r="D1853" s="711"/>
      <c r="E1853" s="711"/>
      <c r="F1853" s="711"/>
      <c r="G1853" s="711"/>
      <c r="H1853" s="735"/>
      <c r="I1853" s="712"/>
    </row>
    <row r="1854" spans="2:9">
      <c r="B1854" s="80"/>
      <c r="C1854" s="187"/>
      <c r="D1854" s="188"/>
      <c r="E1854" s="188"/>
      <c r="F1854" s="188"/>
      <c r="G1854" s="292"/>
      <c r="H1854" s="292"/>
    </row>
    <row r="1855" spans="2:9">
      <c r="C1855" s="187"/>
      <c r="D1855" s="188"/>
      <c r="E1855" s="188"/>
      <c r="F1855" s="188"/>
      <c r="G1855" s="292"/>
      <c r="H1855" s="292"/>
    </row>
    <row r="1856" spans="2:9" ht="15.75" thickBot="1">
      <c r="C1856" s="187"/>
      <c r="D1856" s="188"/>
      <c r="E1856" s="188"/>
      <c r="F1856" s="188"/>
      <c r="G1856" s="292"/>
      <c r="H1856" s="292"/>
    </row>
    <row r="1857" spans="2:9" ht="15" customHeight="1">
      <c r="B1857" s="79" t="str">
        <f>'Costed Impl plan'!B238</f>
        <v>4.4.4</v>
      </c>
      <c r="C1857" s="704" t="str">
        <f>'Costed Impl plan'!C238</f>
        <v>Development of inventory of all relevant resources</v>
      </c>
      <c r="D1857" s="705"/>
      <c r="E1857" s="705"/>
      <c r="F1857" s="705"/>
      <c r="G1857" s="705"/>
      <c r="H1857" s="713"/>
      <c r="I1857" s="706"/>
    </row>
    <row r="1858" spans="2:9" ht="30">
      <c r="C1858" s="131" t="s">
        <v>452</v>
      </c>
      <c r="D1858" s="113" t="s">
        <v>703</v>
      </c>
      <c r="E1858" s="113" t="s">
        <v>453</v>
      </c>
      <c r="F1858" s="113" t="s">
        <v>935</v>
      </c>
      <c r="G1858" s="270" t="s">
        <v>932</v>
      </c>
      <c r="H1858" s="270" t="s">
        <v>933</v>
      </c>
      <c r="I1858" s="375" t="s">
        <v>651</v>
      </c>
    </row>
    <row r="1859" spans="2:9">
      <c r="C1859" s="77" t="s">
        <v>847</v>
      </c>
      <c r="D1859" s="74"/>
      <c r="E1859" s="74"/>
      <c r="F1859" s="74"/>
      <c r="G1859" s="164"/>
      <c r="H1859" s="300"/>
      <c r="I1859" s="376"/>
    </row>
    <row r="1860" spans="2:9">
      <c r="C1860" s="150" t="s">
        <v>714</v>
      </c>
      <c r="D1860" s="74" t="s">
        <v>706</v>
      </c>
      <c r="E1860" s="74">
        <v>30</v>
      </c>
      <c r="F1860" s="74">
        <v>200</v>
      </c>
      <c r="G1860" s="164">
        <f>E1860*F1860</f>
        <v>6000</v>
      </c>
      <c r="H1860" s="300">
        <f>G1860*I7</f>
        <v>507000</v>
      </c>
      <c r="I1860" s="376"/>
    </row>
    <row r="1861" spans="2:9">
      <c r="C1861" s="150" t="s">
        <v>829</v>
      </c>
      <c r="D1861" s="74" t="s">
        <v>706</v>
      </c>
      <c r="E1861" s="74">
        <v>5</v>
      </c>
      <c r="F1861" s="74">
        <f>1500/80</f>
        <v>18.75</v>
      </c>
      <c r="G1861" s="164">
        <f>E1861*F1861</f>
        <v>93.75</v>
      </c>
      <c r="H1861" s="300">
        <f>G1861*I7</f>
        <v>7921.875</v>
      </c>
      <c r="I1861" s="376"/>
    </row>
    <row r="1862" spans="2:9" s="79" customFormat="1">
      <c r="C1862" s="75" t="s">
        <v>715</v>
      </c>
      <c r="D1862" s="82"/>
      <c r="E1862" s="82"/>
      <c r="F1862" s="82"/>
      <c r="G1862" s="267">
        <f>SUM(G1860:G1861)</f>
        <v>6093.75</v>
      </c>
      <c r="H1862" s="299">
        <f>G1862*I7</f>
        <v>514921.875</v>
      </c>
      <c r="I1862" s="445"/>
    </row>
    <row r="1863" spans="2:9" s="79" customFormat="1">
      <c r="C1863" s="216" t="s">
        <v>867</v>
      </c>
      <c r="D1863" s="82"/>
      <c r="E1863" s="82"/>
      <c r="F1863" s="224"/>
      <c r="G1863" s="294">
        <f>G1862*25%</f>
        <v>1523.4375</v>
      </c>
      <c r="H1863" s="299">
        <f>G1863*I7</f>
        <v>128730.46875</v>
      </c>
      <c r="I1863" s="377"/>
    </row>
    <row r="1864" spans="2:9" s="79" customFormat="1" ht="15.75" thickBot="1">
      <c r="C1864" s="231" t="s">
        <v>902</v>
      </c>
      <c r="D1864" s="218"/>
      <c r="E1864" s="218"/>
      <c r="F1864" s="218"/>
      <c r="G1864" s="280">
        <f>G1862+G1863</f>
        <v>7617.1875</v>
      </c>
      <c r="H1864" s="313">
        <f>G1864*I7</f>
        <v>643652.34375</v>
      </c>
      <c r="I1864" s="466"/>
    </row>
    <row r="1865" spans="2:9" ht="15.75" thickBot="1">
      <c r="C1865" s="710" t="s">
        <v>1031</v>
      </c>
      <c r="D1865" s="711"/>
      <c r="E1865" s="711"/>
      <c r="F1865" s="711"/>
      <c r="G1865" s="711"/>
      <c r="H1865" s="735"/>
      <c r="I1865" s="712"/>
    </row>
    <row r="1868" spans="2:9" ht="15.75" thickBot="1"/>
    <row r="1869" spans="2:9" ht="21.75" customHeight="1">
      <c r="B1869" s="79" t="str">
        <f>'Costed Impl plan'!B239</f>
        <v>4.4.5</v>
      </c>
      <c r="C1869" s="704" t="str">
        <f>'Costed Impl plan'!C239</f>
        <v xml:space="preserve">Conduct National AIDS spending Survey (NASA), share  and use the findings accordingly </v>
      </c>
      <c r="D1869" s="705"/>
      <c r="E1869" s="705"/>
      <c r="F1869" s="705"/>
      <c r="G1869" s="705"/>
      <c r="H1869" s="713"/>
      <c r="I1869" s="706"/>
    </row>
    <row r="1870" spans="2:9" ht="30">
      <c r="C1870" s="131" t="s">
        <v>452</v>
      </c>
      <c r="D1870" s="113" t="s">
        <v>703</v>
      </c>
      <c r="E1870" s="113" t="s">
        <v>453</v>
      </c>
      <c r="F1870" s="113" t="s">
        <v>935</v>
      </c>
      <c r="G1870" s="270" t="s">
        <v>932</v>
      </c>
      <c r="H1870" s="270" t="s">
        <v>933</v>
      </c>
      <c r="I1870" s="375" t="s">
        <v>651</v>
      </c>
    </row>
    <row r="1871" spans="2:9">
      <c r="C1871" s="72" t="s">
        <v>465</v>
      </c>
      <c r="D1871" s="74"/>
      <c r="E1871" s="74"/>
      <c r="F1871" s="74"/>
      <c r="G1871" s="164"/>
      <c r="H1871" s="300"/>
      <c r="I1871" s="376"/>
    </row>
    <row r="1872" spans="2:9">
      <c r="C1872" s="72" t="s">
        <v>600</v>
      </c>
      <c r="D1872" s="74"/>
      <c r="E1872" s="74"/>
      <c r="F1872" s="74"/>
      <c r="G1872" s="164"/>
      <c r="H1872" s="300"/>
      <c r="I1872" s="376"/>
    </row>
    <row r="1873" spans="2:9">
      <c r="C1873" s="72" t="s">
        <v>632</v>
      </c>
      <c r="D1873" s="74"/>
      <c r="E1873" s="74"/>
      <c r="F1873" s="74"/>
      <c r="G1873" s="164"/>
      <c r="H1873" s="300"/>
      <c r="I1873" s="376"/>
    </row>
    <row r="1874" spans="2:9">
      <c r="C1874" s="66" t="s">
        <v>579</v>
      </c>
      <c r="D1874" s="70"/>
      <c r="E1874" s="70"/>
      <c r="F1874" s="70"/>
      <c r="G1874" s="272">
        <f>20000*1.3</f>
        <v>26000</v>
      </c>
      <c r="H1874" s="304">
        <f>G1874*I7</f>
        <v>2197000</v>
      </c>
      <c r="I1874" s="376"/>
    </row>
    <row r="1875" spans="2:9" s="79" customFormat="1">
      <c r="C1875" s="216" t="s">
        <v>867</v>
      </c>
      <c r="D1875" s="82"/>
      <c r="E1875" s="82"/>
      <c r="F1875" s="224"/>
      <c r="G1875" s="267">
        <f>G1874*25%</f>
        <v>6500</v>
      </c>
      <c r="H1875" s="304">
        <f>G1875*I7</f>
        <v>549250</v>
      </c>
      <c r="I1875" s="377"/>
    </row>
    <row r="1876" spans="2:9">
      <c r="C1876" s="219" t="s">
        <v>633</v>
      </c>
      <c r="D1876" s="220"/>
      <c r="E1876" s="220"/>
      <c r="F1876" s="220"/>
      <c r="G1876" s="240">
        <f>G1874+G1875</f>
        <v>32500</v>
      </c>
      <c r="H1876" s="304">
        <f>G1876*I7</f>
        <v>2746250</v>
      </c>
      <c r="I1876" s="376"/>
    </row>
    <row r="1877" spans="2:9" ht="15" customHeight="1" thickBot="1">
      <c r="C1877" s="710" t="s">
        <v>1031</v>
      </c>
      <c r="D1877" s="711"/>
      <c r="E1877" s="711"/>
      <c r="F1877" s="711"/>
      <c r="G1877" s="711"/>
      <c r="H1877" s="735"/>
      <c r="I1877" s="712"/>
    </row>
    <row r="1878" spans="2:9">
      <c r="C1878" s="187"/>
      <c r="D1878" s="188"/>
      <c r="E1878" s="188"/>
      <c r="F1878" s="188"/>
      <c r="G1878" s="292"/>
      <c r="H1878" s="292"/>
    </row>
    <row r="1879" spans="2:9">
      <c r="C1879" s="187"/>
      <c r="D1879" s="188"/>
      <c r="E1879" s="188"/>
      <c r="F1879" s="188"/>
      <c r="G1879" s="292"/>
      <c r="H1879" s="292"/>
    </row>
    <row r="1880" spans="2:9" ht="15.75" thickBot="1">
      <c r="C1880" s="187"/>
      <c r="D1880" s="188"/>
      <c r="E1880" s="188"/>
      <c r="F1880" s="188"/>
      <c r="G1880" s="292"/>
      <c r="H1880" s="292"/>
    </row>
    <row r="1881" spans="2:9" s="80" customFormat="1" ht="27" customHeight="1">
      <c r="B1881" s="79" t="str">
        <f>'Costed Impl plan'!B240</f>
        <v>4.4.6</v>
      </c>
      <c r="C1881" s="704" t="str">
        <f>'Costed Impl plan'!C240</f>
        <v xml:space="preserve">Commission  secondary analysis,of data  triangulation  based on BSS and BDHS data and disseminate the findings </v>
      </c>
      <c r="D1881" s="705"/>
      <c r="E1881" s="705"/>
      <c r="F1881" s="705"/>
      <c r="G1881" s="705"/>
      <c r="H1881" s="713"/>
      <c r="I1881" s="706"/>
    </row>
    <row r="1882" spans="2:9" ht="42.75" customHeight="1">
      <c r="C1882" s="131" t="s">
        <v>452</v>
      </c>
      <c r="D1882" s="113" t="s">
        <v>703</v>
      </c>
      <c r="E1882" s="113" t="s">
        <v>453</v>
      </c>
      <c r="F1882" s="113" t="s">
        <v>935</v>
      </c>
      <c r="G1882" s="270" t="s">
        <v>932</v>
      </c>
      <c r="H1882" s="270" t="s">
        <v>933</v>
      </c>
      <c r="I1882" s="375" t="s">
        <v>651</v>
      </c>
    </row>
    <row r="1883" spans="2:9" ht="30">
      <c r="C1883" s="72" t="s">
        <v>465</v>
      </c>
      <c r="D1883" s="74"/>
      <c r="E1883" s="155"/>
      <c r="F1883" s="74"/>
      <c r="G1883" s="164"/>
      <c r="H1883" s="300"/>
      <c r="I1883" s="589" t="s">
        <v>634</v>
      </c>
    </row>
    <row r="1884" spans="2:9">
      <c r="C1884" s="72" t="s">
        <v>600</v>
      </c>
      <c r="D1884" s="74"/>
      <c r="E1884" s="74"/>
      <c r="F1884" s="74"/>
      <c r="G1884" s="164"/>
      <c r="H1884" s="300"/>
      <c r="I1884" s="450" t="s">
        <v>635</v>
      </c>
    </row>
    <row r="1885" spans="2:9">
      <c r="C1885" s="66" t="s">
        <v>579</v>
      </c>
      <c r="D1885" s="70"/>
      <c r="E1885" s="70"/>
      <c r="F1885" s="70"/>
      <c r="G1885" s="272">
        <v>10000</v>
      </c>
      <c r="H1885" s="304">
        <f>G1885*I7</f>
        <v>845000</v>
      </c>
      <c r="I1885" s="376"/>
    </row>
    <row r="1886" spans="2:9" s="79" customFormat="1">
      <c r="C1886" s="216" t="s">
        <v>867</v>
      </c>
      <c r="D1886" s="82"/>
      <c r="E1886" s="82"/>
      <c r="F1886" s="224"/>
      <c r="G1886" s="267">
        <f>G1885*25%</f>
        <v>2500</v>
      </c>
      <c r="H1886" s="304">
        <f>G1886*I7</f>
        <v>211250</v>
      </c>
      <c r="I1886" s="377"/>
    </row>
    <row r="1887" spans="2:9">
      <c r="C1887" s="219" t="s">
        <v>636</v>
      </c>
      <c r="D1887" s="220"/>
      <c r="E1887" s="220"/>
      <c r="F1887" s="220"/>
      <c r="G1887" s="240">
        <f>G1885+G1886</f>
        <v>12500</v>
      </c>
      <c r="H1887" s="304">
        <f>G1887*I7</f>
        <v>1056250</v>
      </c>
      <c r="I1887" s="376"/>
    </row>
    <row r="1888" spans="2:9" ht="15" customHeight="1" thickBot="1">
      <c r="C1888" s="710" t="s">
        <v>1032</v>
      </c>
      <c r="D1888" s="711"/>
      <c r="E1888" s="711"/>
      <c r="F1888" s="711"/>
      <c r="G1888" s="711"/>
      <c r="H1888" s="735"/>
      <c r="I1888" s="712"/>
    </row>
    <row r="1889" spans="2:9">
      <c r="C1889" s="187"/>
      <c r="D1889" s="188"/>
      <c r="E1889" s="188"/>
      <c r="F1889" s="188"/>
      <c r="G1889" s="292"/>
      <c r="H1889" s="292"/>
    </row>
    <row r="1890" spans="2:9">
      <c r="C1890" s="187"/>
      <c r="D1890" s="188"/>
      <c r="E1890" s="188"/>
      <c r="F1890" s="188"/>
      <c r="G1890" s="292"/>
      <c r="H1890" s="292"/>
    </row>
    <row r="1891" spans="2:9" ht="15.75" thickBot="1">
      <c r="C1891" s="187"/>
      <c r="D1891" s="188"/>
      <c r="E1891" s="188"/>
      <c r="F1891" s="188"/>
      <c r="G1891" s="292"/>
      <c r="H1891" s="292"/>
    </row>
    <row r="1892" spans="2:9" ht="15" customHeight="1">
      <c r="B1892" s="79" t="str">
        <f>'Costed Impl plan'!B241</f>
        <v>4.4.7</v>
      </c>
      <c r="C1892" s="704" t="str">
        <f>'Costed Impl plan'!C241</f>
        <v xml:space="preserve">Prepare evidence based policy and program briefs </v>
      </c>
      <c r="D1892" s="705"/>
      <c r="E1892" s="705"/>
      <c r="F1892" s="705"/>
      <c r="G1892" s="705"/>
      <c r="H1892" s="713"/>
      <c r="I1892" s="706"/>
    </row>
    <row r="1893" spans="2:9" ht="30">
      <c r="C1893" s="131" t="s">
        <v>452</v>
      </c>
      <c r="D1893" s="113" t="s">
        <v>703</v>
      </c>
      <c r="E1893" s="113" t="s">
        <v>453</v>
      </c>
      <c r="F1893" s="113" t="s">
        <v>935</v>
      </c>
      <c r="G1893" s="270" t="s">
        <v>932</v>
      </c>
      <c r="H1893" s="270" t="s">
        <v>933</v>
      </c>
      <c r="I1893" s="375" t="s">
        <v>651</v>
      </c>
    </row>
    <row r="1894" spans="2:9">
      <c r="C1894" s="191" t="s">
        <v>626</v>
      </c>
      <c r="D1894" s="192"/>
      <c r="E1894" s="190"/>
      <c r="F1894" s="190"/>
      <c r="G1894" s="293">
        <v>0</v>
      </c>
      <c r="H1894" s="317">
        <f>G1894*I7</f>
        <v>0</v>
      </c>
      <c r="I1894" s="376"/>
    </row>
    <row r="1895" spans="2:9" s="79" customFormat="1">
      <c r="C1895" s="216" t="s">
        <v>867</v>
      </c>
      <c r="D1895" s="82"/>
      <c r="E1895" s="82"/>
      <c r="F1895" s="224"/>
      <c r="G1895" s="267">
        <f>G1894*25%</f>
        <v>0</v>
      </c>
      <c r="H1895" s="317">
        <f>G1895*I7</f>
        <v>0</v>
      </c>
      <c r="I1895" s="377"/>
    </row>
    <row r="1896" spans="2:9">
      <c r="C1896" s="219" t="s">
        <v>631</v>
      </c>
      <c r="D1896" s="220"/>
      <c r="E1896" s="220"/>
      <c r="F1896" s="220"/>
      <c r="G1896" s="240">
        <f>G1894+G1895</f>
        <v>0</v>
      </c>
      <c r="H1896" s="317">
        <f>G1896*I7</f>
        <v>0</v>
      </c>
      <c r="I1896" s="376"/>
    </row>
    <row r="1897" spans="2:9" ht="15" customHeight="1" thickBot="1">
      <c r="C1897" s="710" t="s">
        <v>1031</v>
      </c>
      <c r="D1897" s="711"/>
      <c r="E1897" s="711"/>
      <c r="F1897" s="711"/>
      <c r="G1897" s="711"/>
      <c r="H1897" s="735"/>
      <c r="I1897" s="712"/>
    </row>
    <row r="1900" spans="2:9" ht="15.75" thickBot="1"/>
    <row r="1901" spans="2:9" ht="16.5" customHeight="1">
      <c r="B1901" s="79" t="str">
        <f>'Costed Impl plan'!B242</f>
        <v>4.4.8</v>
      </c>
      <c r="C1901" s="704" t="str">
        <f>'Costed Impl plan'!C242</f>
        <v>Conduct 6-monthly dissemination workshops</v>
      </c>
      <c r="D1901" s="705"/>
      <c r="E1901" s="705"/>
      <c r="F1901" s="705"/>
      <c r="G1901" s="705"/>
      <c r="H1901" s="713"/>
      <c r="I1901" s="706"/>
    </row>
    <row r="1902" spans="2:9">
      <c r="C1902" s="72" t="s">
        <v>637</v>
      </c>
      <c r="D1902" s="74"/>
      <c r="E1902" s="74"/>
      <c r="F1902" s="74"/>
      <c r="G1902" s="164"/>
      <c r="H1902" s="300"/>
      <c r="I1902" s="376"/>
    </row>
    <row r="1903" spans="2:9" ht="30">
      <c r="C1903" s="131" t="s">
        <v>452</v>
      </c>
      <c r="D1903" s="113" t="s">
        <v>703</v>
      </c>
      <c r="E1903" s="113" t="s">
        <v>453</v>
      </c>
      <c r="F1903" s="113" t="s">
        <v>935</v>
      </c>
      <c r="G1903" s="270" t="s">
        <v>932</v>
      </c>
      <c r="H1903" s="270" t="s">
        <v>933</v>
      </c>
      <c r="I1903" s="375" t="s">
        <v>651</v>
      </c>
    </row>
    <row r="1904" spans="2:9">
      <c r="C1904" s="72" t="s">
        <v>454</v>
      </c>
      <c r="D1904" s="74" t="s">
        <v>704</v>
      </c>
      <c r="E1904" s="74">
        <v>100</v>
      </c>
      <c r="F1904" s="160">
        <v>3.6175781250000001</v>
      </c>
      <c r="G1904" s="164"/>
      <c r="H1904" s="300"/>
      <c r="I1904" s="376"/>
    </row>
    <row r="1905" spans="2:9">
      <c r="C1905" s="72" t="s">
        <v>467</v>
      </c>
      <c r="D1905" s="74" t="s">
        <v>704</v>
      </c>
      <c r="E1905" s="74">
        <v>100</v>
      </c>
      <c r="F1905" s="160">
        <v>15</v>
      </c>
      <c r="G1905" s="164"/>
      <c r="H1905" s="300"/>
      <c r="I1905" s="376"/>
    </row>
    <row r="1906" spans="2:9">
      <c r="C1906" s="72" t="s">
        <v>457</v>
      </c>
      <c r="D1906" s="74" t="s">
        <v>704</v>
      </c>
      <c r="E1906" s="74">
        <v>100</v>
      </c>
      <c r="F1906" s="160">
        <v>15</v>
      </c>
      <c r="G1906" s="164"/>
      <c r="H1906" s="300"/>
      <c r="I1906" s="376"/>
    </row>
    <row r="1907" spans="2:9">
      <c r="C1907" s="72" t="s">
        <v>1163</v>
      </c>
      <c r="D1907" s="74" t="s">
        <v>704</v>
      </c>
      <c r="E1907" s="74">
        <v>100</v>
      </c>
      <c r="F1907" s="160">
        <v>21.705468750000001</v>
      </c>
      <c r="G1907" s="164"/>
      <c r="H1907" s="300"/>
      <c r="I1907" s="376"/>
    </row>
    <row r="1908" spans="2:9">
      <c r="C1908" s="72" t="s">
        <v>459</v>
      </c>
      <c r="D1908" s="74" t="s">
        <v>704</v>
      </c>
      <c r="E1908" s="74">
        <v>100</v>
      </c>
      <c r="F1908" s="160">
        <v>2.8940625</v>
      </c>
      <c r="G1908" s="164"/>
      <c r="H1908" s="300"/>
      <c r="I1908" s="376"/>
    </row>
    <row r="1909" spans="2:9">
      <c r="C1909" s="216" t="s">
        <v>867</v>
      </c>
      <c r="D1909" s="74"/>
      <c r="E1909" s="74"/>
      <c r="F1909" s="74"/>
      <c r="G1909" s="279"/>
      <c r="H1909" s="300"/>
      <c r="I1909" s="376"/>
    </row>
    <row r="1910" spans="2:9" s="79" customFormat="1">
      <c r="C1910" s="76" t="s">
        <v>629</v>
      </c>
      <c r="D1910" s="94"/>
      <c r="E1910" s="94"/>
      <c r="F1910" s="94"/>
      <c r="G1910" s="240">
        <v>2000</v>
      </c>
      <c r="H1910" s="314">
        <f>G1910*I7</f>
        <v>169000</v>
      </c>
      <c r="I1910" s="445"/>
    </row>
    <row r="1911" spans="2:9" ht="15.75" thickBot="1">
      <c r="C1911" s="710" t="s">
        <v>1110</v>
      </c>
      <c r="D1911" s="711"/>
      <c r="E1911" s="711"/>
      <c r="F1911" s="711"/>
      <c r="G1911" s="711"/>
      <c r="H1911" s="711"/>
      <c r="I1911" s="712"/>
    </row>
    <row r="1912" spans="2:9">
      <c r="B1912" s="83"/>
      <c r="D1912" s="83"/>
      <c r="E1912" s="83"/>
      <c r="F1912" s="83"/>
      <c r="G1912" s="83"/>
      <c r="H1912" s="83"/>
    </row>
    <row r="1913" spans="2:9">
      <c r="B1913" s="83"/>
      <c r="D1913" s="83"/>
      <c r="E1913" s="83"/>
      <c r="F1913" s="83"/>
      <c r="G1913" s="83"/>
      <c r="H1913" s="83"/>
    </row>
    <row r="1914" spans="2:9">
      <c r="B1914" s="83"/>
      <c r="D1914" s="83"/>
      <c r="E1914" s="83"/>
      <c r="F1914" s="83"/>
      <c r="G1914" s="83"/>
      <c r="H1914" s="83"/>
    </row>
    <row r="1915" spans="2:9">
      <c r="B1915" s="83"/>
      <c r="D1915" s="83"/>
      <c r="E1915" s="83"/>
      <c r="F1915" s="83"/>
      <c r="G1915" s="83"/>
      <c r="H1915" s="83"/>
    </row>
    <row r="1916" spans="2:9">
      <c r="B1916" s="83"/>
      <c r="D1916" s="83"/>
      <c r="E1916" s="83"/>
      <c r="F1916" s="83"/>
      <c r="G1916" s="83"/>
      <c r="H1916" s="83"/>
    </row>
    <row r="1917" spans="2:9">
      <c r="B1917" s="83"/>
      <c r="D1917" s="83"/>
      <c r="E1917" s="83"/>
      <c r="F1917" s="83"/>
      <c r="G1917" s="83"/>
      <c r="H1917" s="83"/>
    </row>
    <row r="1918" spans="2:9">
      <c r="B1918" s="83"/>
      <c r="D1918" s="83"/>
      <c r="E1918" s="83"/>
      <c r="F1918" s="83"/>
      <c r="G1918" s="83"/>
      <c r="H1918" s="83"/>
    </row>
    <row r="1919" spans="2:9">
      <c r="B1919" s="83"/>
      <c r="D1919" s="83"/>
      <c r="E1919" s="83"/>
      <c r="F1919" s="83"/>
      <c r="G1919" s="83"/>
      <c r="H1919" s="83"/>
    </row>
    <row r="1920" spans="2:9">
      <c r="B1920" s="83"/>
      <c r="D1920" s="83"/>
      <c r="E1920" s="83"/>
      <c r="F1920" s="83"/>
      <c r="G1920" s="83"/>
      <c r="H1920" s="83"/>
    </row>
    <row r="1921" spans="2:8">
      <c r="B1921" s="83"/>
      <c r="D1921" s="83"/>
      <c r="E1921" s="83"/>
      <c r="F1921" s="83"/>
      <c r="G1921" s="83"/>
      <c r="H1921" s="83"/>
    </row>
    <row r="1922" spans="2:8">
      <c r="B1922" s="83"/>
      <c r="D1922" s="83"/>
      <c r="E1922" s="83"/>
      <c r="F1922" s="83"/>
      <c r="G1922" s="83"/>
      <c r="H1922" s="83"/>
    </row>
    <row r="1923" spans="2:8">
      <c r="B1923" s="83"/>
      <c r="D1923" s="83"/>
      <c r="E1923" s="83"/>
      <c r="F1923" s="83"/>
      <c r="G1923" s="83"/>
      <c r="H1923" s="83"/>
    </row>
    <row r="1924" spans="2:8">
      <c r="B1924" s="83"/>
      <c r="D1924" s="83"/>
      <c r="E1924" s="83"/>
      <c r="F1924" s="83"/>
      <c r="G1924" s="83"/>
      <c r="H1924" s="83"/>
    </row>
    <row r="1925" spans="2:8">
      <c r="B1925" s="83"/>
      <c r="D1925" s="83"/>
      <c r="E1925" s="83"/>
      <c r="F1925" s="83"/>
      <c r="G1925" s="83"/>
      <c r="H1925" s="83"/>
    </row>
    <row r="1926" spans="2:8">
      <c r="B1926" s="83"/>
      <c r="D1926" s="83"/>
      <c r="E1926" s="83"/>
      <c r="F1926" s="83"/>
      <c r="G1926" s="83"/>
      <c r="H1926" s="83"/>
    </row>
    <row r="1927" spans="2:8">
      <c r="B1927" s="83"/>
      <c r="D1927" s="83"/>
      <c r="E1927" s="83"/>
      <c r="F1927" s="83"/>
      <c r="G1927" s="83"/>
      <c r="H1927" s="83"/>
    </row>
    <row r="1928" spans="2:8">
      <c r="B1928" s="83"/>
      <c r="D1928" s="83"/>
      <c r="E1928" s="83"/>
      <c r="F1928" s="83"/>
      <c r="G1928" s="83"/>
      <c r="H1928" s="83"/>
    </row>
    <row r="1929" spans="2:8">
      <c r="B1929" s="83"/>
      <c r="D1929" s="83"/>
      <c r="E1929" s="83"/>
      <c r="F1929" s="83"/>
      <c r="G1929" s="83"/>
      <c r="H1929" s="83"/>
    </row>
    <row r="1930" spans="2:8">
      <c r="B1930" s="83"/>
      <c r="D1930" s="83"/>
      <c r="E1930" s="83"/>
      <c r="F1930" s="83"/>
      <c r="G1930" s="83"/>
      <c r="H1930" s="83"/>
    </row>
    <row r="1931" spans="2:8">
      <c r="B1931" s="83"/>
      <c r="D1931" s="83"/>
      <c r="E1931" s="83"/>
      <c r="F1931" s="83"/>
      <c r="G1931" s="83"/>
      <c r="H1931" s="83"/>
    </row>
    <row r="1932" spans="2:8">
      <c r="B1932" s="83"/>
      <c r="D1932" s="83"/>
      <c r="E1932" s="83"/>
      <c r="F1932" s="83"/>
      <c r="G1932" s="83"/>
      <c r="H1932" s="83"/>
    </row>
    <row r="1933" spans="2:8">
      <c r="B1933" s="83"/>
      <c r="D1933" s="83"/>
      <c r="E1933" s="83"/>
      <c r="F1933" s="83"/>
      <c r="G1933" s="83"/>
      <c r="H1933" s="83"/>
    </row>
    <row r="1956" spans="4:4">
      <c r="D1956" s="83"/>
    </row>
  </sheetData>
  <mergeCells count="377">
    <mergeCell ref="C850:I850"/>
    <mergeCell ref="C851:G851"/>
    <mergeCell ref="C853:I853"/>
    <mergeCell ref="C658:I658"/>
    <mergeCell ref="C661:I661"/>
    <mergeCell ref="C253:I253"/>
    <mergeCell ref="C469:I469"/>
    <mergeCell ref="C569:I569"/>
    <mergeCell ref="C573:I573"/>
    <mergeCell ref="C442:I442"/>
    <mergeCell ref="C445:I445"/>
    <mergeCell ref="C446:I446"/>
    <mergeCell ref="C350:I350"/>
    <mergeCell ref="C305:I305"/>
    <mergeCell ref="C315:I315"/>
    <mergeCell ref="C397:I397"/>
    <mergeCell ref="C410:I410"/>
    <mergeCell ref="C465:I465"/>
    <mergeCell ref="C552:I552"/>
    <mergeCell ref="C566:I566"/>
    <mergeCell ref="C400:I400"/>
    <mergeCell ref="C413:I413"/>
    <mergeCell ref="C414:I414"/>
    <mergeCell ref="C328:I328"/>
    <mergeCell ref="C319:I319"/>
    <mergeCell ref="C347:I347"/>
    <mergeCell ref="C332:I332"/>
    <mergeCell ref="C333:G333"/>
    <mergeCell ref="D307:F307"/>
    <mergeCell ref="C584:I584"/>
    <mergeCell ref="C265:I265"/>
    <mergeCell ref="C266:I266"/>
    <mergeCell ref="C291:I291"/>
    <mergeCell ref="C294:I294"/>
    <mergeCell ref="C295:I295"/>
    <mergeCell ref="C301:I301"/>
    <mergeCell ref="C387:I387"/>
    <mergeCell ref="C456:I456"/>
    <mergeCell ref="D308:F308"/>
    <mergeCell ref="D309:F309"/>
    <mergeCell ref="D310:F310"/>
    <mergeCell ref="D311:F311"/>
    <mergeCell ref="D312:F312"/>
    <mergeCell ref="C365:I365"/>
    <mergeCell ref="C511:G511"/>
    <mergeCell ref="C512:F512"/>
    <mergeCell ref="C514:I514"/>
    <mergeCell ref="C137:G137"/>
    <mergeCell ref="C90:G90"/>
    <mergeCell ref="C131:G131"/>
    <mergeCell ref="C175:I175"/>
    <mergeCell ref="C232:I232"/>
    <mergeCell ref="C244:I244"/>
    <mergeCell ref="C235:I235"/>
    <mergeCell ref="C248:I248"/>
    <mergeCell ref="C106:I106"/>
    <mergeCell ref="C113:I113"/>
    <mergeCell ref="C120:I120"/>
    <mergeCell ref="C154:I154"/>
    <mergeCell ref="C190:I190"/>
    <mergeCell ref="C203:I203"/>
    <mergeCell ref="C219:I219"/>
    <mergeCell ref="C223:I223"/>
    <mergeCell ref="C110:G110"/>
    <mergeCell ref="C165:G165"/>
    <mergeCell ref="C132:F132"/>
    <mergeCell ref="C138:F138"/>
    <mergeCell ref="C178:G178"/>
    <mergeCell ref="C186:G186"/>
    <mergeCell ref="C158:G158"/>
    <mergeCell ref="C159:F159"/>
    <mergeCell ref="C38:I38"/>
    <mergeCell ref="C44:I44"/>
    <mergeCell ref="C50:I50"/>
    <mergeCell ref="C56:I56"/>
    <mergeCell ref="C60:G60"/>
    <mergeCell ref="C76:I76"/>
    <mergeCell ref="C81:I81"/>
    <mergeCell ref="C29:G29"/>
    <mergeCell ref="C27:I27"/>
    <mergeCell ref="C161:I161"/>
    <mergeCell ref="C87:I87"/>
    <mergeCell ref="C93:I93"/>
    <mergeCell ref="C99:I99"/>
    <mergeCell ref="C134:I134"/>
    <mergeCell ref="C127:I127"/>
    <mergeCell ref="J558:K558"/>
    <mergeCell ref="L558:N558"/>
    <mergeCell ref="C547:G547"/>
    <mergeCell ref="C558:G558"/>
    <mergeCell ref="C472:I472"/>
    <mergeCell ref="C475:I475"/>
    <mergeCell ref="I501:I502"/>
    <mergeCell ref="C508:I508"/>
    <mergeCell ref="C519:I519"/>
    <mergeCell ref="C530:I530"/>
    <mergeCell ref="C542:I542"/>
    <mergeCell ref="C533:I533"/>
    <mergeCell ref="C546:I546"/>
    <mergeCell ref="C557:I557"/>
    <mergeCell ref="C534:I534"/>
    <mergeCell ref="C200:I200"/>
    <mergeCell ref="C368:I368"/>
    <mergeCell ref="C384:I384"/>
    <mergeCell ref="C845:I845"/>
    <mergeCell ref="C665:I665"/>
    <mergeCell ref="C677:I677"/>
    <mergeCell ref="C686:I686"/>
    <mergeCell ref="C696:I696"/>
    <mergeCell ref="C697:I697"/>
    <mergeCell ref="C707:I707"/>
    <mergeCell ref="C711:I711"/>
    <mergeCell ref="C712:I712"/>
    <mergeCell ref="C722:I722"/>
    <mergeCell ref="C725:I725"/>
    <mergeCell ref="C726:I726"/>
    <mergeCell ref="C736:I736"/>
    <mergeCell ref="C801:I801"/>
    <mergeCell ref="C811:I811"/>
    <mergeCell ref="C786:I786"/>
    <mergeCell ref="C796:I796"/>
    <mergeCell ref="C815:I815"/>
    <mergeCell ref="C841:I841"/>
    <mergeCell ref="C679:I679"/>
    <mergeCell ref="C681:I681"/>
    <mergeCell ref="C250:I250"/>
    <mergeCell ref="C262:I262"/>
    <mergeCell ref="C1050:I1050"/>
    <mergeCell ref="C1053:I1053"/>
    <mergeCell ref="C1093:I1093"/>
    <mergeCell ref="C1094:I1094"/>
    <mergeCell ref="I1097:I1101"/>
    <mergeCell ref="I1105:I1106"/>
    <mergeCell ref="C975:I975"/>
    <mergeCell ref="C846:G846"/>
    <mergeCell ref="C848:I848"/>
    <mergeCell ref="C915:I915"/>
    <mergeCell ref="C944:I944"/>
    <mergeCell ref="C985:G985"/>
    <mergeCell ref="C983:I983"/>
    <mergeCell ref="C1017:I1017"/>
    <mergeCell ref="C987:I987"/>
    <mergeCell ref="C1021:I1021"/>
    <mergeCell ref="C1032:I1032"/>
    <mergeCell ref="C1043:I1043"/>
    <mergeCell ref="C1036:I1036"/>
    <mergeCell ref="C1047:I1047"/>
    <mergeCell ref="C971:I971"/>
    <mergeCell ref="C1056:I1056"/>
    <mergeCell ref="C1073:I1073"/>
    <mergeCell ref="C1152:G1152"/>
    <mergeCell ref="C1166:G1166"/>
    <mergeCell ref="C1113:G1113"/>
    <mergeCell ref="C1139:G1139"/>
    <mergeCell ref="C1124:I1124"/>
    <mergeCell ref="C1115:I1115"/>
    <mergeCell ref="C1127:I1127"/>
    <mergeCell ref="C1135:I1135"/>
    <mergeCell ref="C1138:I1138"/>
    <mergeCell ref="C1148:I1148"/>
    <mergeCell ref="C1151:I1151"/>
    <mergeCell ref="C1162:I1162"/>
    <mergeCell ref="C1165:I1165"/>
    <mergeCell ref="C1111:I1111"/>
    <mergeCell ref="C1780:I1780"/>
    <mergeCell ref="I1758:I1764"/>
    <mergeCell ref="C1857:I1857"/>
    <mergeCell ref="C1777:I1777"/>
    <mergeCell ref="C1771:I1771"/>
    <mergeCell ref="C1869:I1869"/>
    <mergeCell ref="C1801:I1801"/>
    <mergeCell ref="C1798:I1798"/>
    <mergeCell ref="C1826:I1826"/>
    <mergeCell ref="C1865:I1865"/>
    <mergeCell ref="C1806:I1806"/>
    <mergeCell ref="C1816:I1816"/>
    <mergeCell ref="C1819:I1819"/>
    <mergeCell ref="C1839:I1839"/>
    <mergeCell ref="C1829:I1829"/>
    <mergeCell ref="C1853:I1853"/>
    <mergeCell ref="C1843:I1843"/>
    <mergeCell ref="C1788:I1788"/>
    <mergeCell ref="C1791:I1791"/>
    <mergeCell ref="C1799:G1799"/>
    <mergeCell ref="C1768:I1768"/>
    <mergeCell ref="C1756:I1756"/>
    <mergeCell ref="C1352:G1352"/>
    <mergeCell ref="C1353:G1353"/>
    <mergeCell ref="C1275:I1275"/>
    <mergeCell ref="C1280:I1280"/>
    <mergeCell ref="C1288:I1288"/>
    <mergeCell ref="C1283:I1283"/>
    <mergeCell ref="C1296:I1296"/>
    <mergeCell ref="C1291:I1291"/>
    <mergeCell ref="C1305:I1305"/>
    <mergeCell ref="C1300:I1300"/>
    <mergeCell ref="C1308:I1308"/>
    <mergeCell ref="C1313:I1313"/>
    <mergeCell ref="C1317:I1317"/>
    <mergeCell ref="C1326:I1326"/>
    <mergeCell ref="C1881:I1881"/>
    <mergeCell ref="C1892:I1892"/>
    <mergeCell ref="I192:I196"/>
    <mergeCell ref="I1532:I1538"/>
    <mergeCell ref="C1355:I1355"/>
    <mergeCell ref="C1392:I1392"/>
    <mergeCell ref="C1382:I1382"/>
    <mergeCell ref="C1405:I1405"/>
    <mergeCell ref="C1396:I1396"/>
    <mergeCell ref="C1794:I1794"/>
    <mergeCell ref="C1797:I1797"/>
    <mergeCell ref="C1529:I1529"/>
    <mergeCell ref="C1598:I1598"/>
    <mergeCell ref="C1599:I1599"/>
    <mergeCell ref="C1609:I1609"/>
    <mergeCell ref="C1616:I1616"/>
    <mergeCell ref="C1495:G1495"/>
    <mergeCell ref="C1426:G1426"/>
    <mergeCell ref="C1428:E1428"/>
    <mergeCell ref="C632:I632"/>
    <mergeCell ref="C638:I638"/>
    <mergeCell ref="C628:I628"/>
    <mergeCell ref="C1408:I1408"/>
    <mergeCell ref="C1421:I1421"/>
    <mergeCell ref="C3:I3"/>
    <mergeCell ref="C631:I631"/>
    <mergeCell ref="C1546:I1546"/>
    <mergeCell ref="C452:I452"/>
    <mergeCell ref="C607:I607"/>
    <mergeCell ref="C611:I611"/>
    <mergeCell ref="C1512:I1512"/>
    <mergeCell ref="C1517:I1517"/>
    <mergeCell ref="C1526:I1526"/>
    <mergeCell ref="C1419:G1419"/>
    <mergeCell ref="C612:I612"/>
    <mergeCell ref="C776:I776"/>
    <mergeCell ref="C782:I782"/>
    <mergeCell ref="C1409:G1409"/>
    <mergeCell ref="C1414:I1414"/>
    <mergeCell ref="C1425:I1425"/>
    <mergeCell ref="C1505:I1505"/>
    <mergeCell ref="C1226:I1226"/>
    <mergeCell ref="C1059:I1059"/>
    <mergeCell ref="C1207:I1207"/>
    <mergeCell ref="C1208:I1208"/>
    <mergeCell ref="C1216:I1216"/>
    <mergeCell ref="C1070:I1070"/>
    <mergeCell ref="C1089:I1089"/>
    <mergeCell ref="C1272:I1272"/>
    <mergeCell ref="C1323:I1323"/>
    <mergeCell ref="C1707:I1707"/>
    <mergeCell ref="C1718:I1718"/>
    <mergeCell ref="C1728:I1728"/>
    <mergeCell ref="C1442:I1442"/>
    <mergeCell ref="C1449:I1449"/>
    <mergeCell ref="C1443:I1443"/>
    <mergeCell ref="C1454:I1454"/>
    <mergeCell ref="C1696:I1696"/>
    <mergeCell ref="C1668:I1668"/>
    <mergeCell ref="C1655:I1655"/>
    <mergeCell ref="C1670:G1670"/>
    <mergeCell ref="C1681:I1681"/>
    <mergeCell ref="C1377:I1377"/>
    <mergeCell ref="C1468:I1468"/>
    <mergeCell ref="C1586:I1586"/>
    <mergeCell ref="C1595:I1595"/>
    <mergeCell ref="C1675:I1675"/>
    <mergeCell ref="C1334:I1334"/>
    <mergeCell ref="C1337:I1337"/>
    <mergeCell ref="C1229:I1229"/>
    <mergeCell ref="C1240:I1240"/>
    <mergeCell ref="C1252:I1252"/>
    <mergeCell ref="C1264:I1264"/>
    <mergeCell ref="C1221:G1221"/>
    <mergeCell ref="C1174:I1174"/>
    <mergeCell ref="C1177:I1177"/>
    <mergeCell ref="C1204:I1204"/>
    <mergeCell ref="C1220:I1220"/>
    <mergeCell ref="C1237:I1237"/>
    <mergeCell ref="C1248:I1248"/>
    <mergeCell ref="C1260:I1260"/>
    <mergeCell ref="C1897:I1897"/>
    <mergeCell ref="C1911:I1911"/>
    <mergeCell ref="C1901:I1901"/>
    <mergeCell ref="C1664:G1664"/>
    <mergeCell ref="C1672:G1672"/>
    <mergeCell ref="C1703:I1703"/>
    <mergeCell ref="C1460:I1460"/>
    <mergeCell ref="C1471:I1471"/>
    <mergeCell ref="C1560:I1560"/>
    <mergeCell ref="C1563:I1563"/>
    <mergeCell ref="C1577:I1577"/>
    <mergeCell ref="C1877:I1877"/>
    <mergeCell ref="C1888:I1888"/>
    <mergeCell ref="C1804:G1804"/>
    <mergeCell ref="C1781:G1781"/>
    <mergeCell ref="C1792:G1792"/>
    <mergeCell ref="C1743:I1743"/>
    <mergeCell ref="C1753:I1753"/>
    <mergeCell ref="C1624:G1624"/>
    <mergeCell ref="C1606:G1606"/>
    <mergeCell ref="C1620:G1620"/>
    <mergeCell ref="C1686:G1686"/>
    <mergeCell ref="C1700:I1700"/>
    <mergeCell ref="C1740:G1740"/>
    <mergeCell ref="C5:I5"/>
    <mergeCell ref="C85:F85"/>
    <mergeCell ref="C91:F91"/>
    <mergeCell ref="C104:F104"/>
    <mergeCell ref="C111:F111"/>
    <mergeCell ref="C118:F118"/>
    <mergeCell ref="C125:F125"/>
    <mergeCell ref="C9:G9"/>
    <mergeCell ref="C47:G47"/>
    <mergeCell ref="C53:G53"/>
    <mergeCell ref="C41:G41"/>
    <mergeCell ref="C117:G117"/>
    <mergeCell ref="C124:G124"/>
    <mergeCell ref="C96:G96"/>
    <mergeCell ref="C97:G97"/>
    <mergeCell ref="C103:G103"/>
    <mergeCell ref="C10:G10"/>
    <mergeCell ref="I12:I26"/>
    <mergeCell ref="C35:G35"/>
    <mergeCell ref="C79:G79"/>
    <mergeCell ref="C84:G84"/>
    <mergeCell ref="I30:I31"/>
    <mergeCell ref="C32:I32"/>
    <mergeCell ref="I36:I37"/>
    <mergeCell ref="C587:I587"/>
    <mergeCell ref="C588:I588"/>
    <mergeCell ref="C599:I599"/>
    <mergeCell ref="C602:I602"/>
    <mergeCell ref="I615:I616"/>
    <mergeCell ref="C1732:I1732"/>
    <mergeCell ref="C1701:G1701"/>
    <mergeCell ref="C1685:I1685"/>
    <mergeCell ref="C1476:I1476"/>
    <mergeCell ref="C1483:I1483"/>
    <mergeCell ref="C1639:I1639"/>
    <mergeCell ref="C1652:G1652"/>
    <mergeCell ref="C1613:G1613"/>
    <mergeCell ref="C1580:I1580"/>
    <mergeCell ref="C1589:I1589"/>
    <mergeCell ref="C1543:G1543"/>
    <mergeCell ref="C1499:G1499"/>
    <mergeCell ref="C1498:I1498"/>
    <mergeCell ref="C1501:I1501"/>
    <mergeCell ref="C641:I641"/>
    <mergeCell ref="C741:I741"/>
    <mergeCell ref="C758:I758"/>
    <mergeCell ref="C762:I762"/>
    <mergeCell ref="C1715:I1715"/>
    <mergeCell ref="C962:I962"/>
    <mergeCell ref="C833:I833"/>
    <mergeCell ref="C834:I834"/>
    <mergeCell ref="C740:I740"/>
    <mergeCell ref="C958:I958"/>
    <mergeCell ref="C1434:I1434"/>
    <mergeCell ref="C1438:I1438"/>
    <mergeCell ref="C655:I655"/>
    <mergeCell ref="I1566:I1572"/>
    <mergeCell ref="I1549:I1555"/>
    <mergeCell ref="C687:I687"/>
    <mergeCell ref="C693:I693"/>
    <mergeCell ref="C772:I772"/>
    <mergeCell ref="C871:I871"/>
    <mergeCell ref="C857:I857"/>
    <mergeCell ref="C858:I858"/>
    <mergeCell ref="C877:I877"/>
    <mergeCell ref="C918:I918"/>
    <mergeCell ref="C948:I948"/>
    <mergeCell ref="C829:I829"/>
    <mergeCell ref="C1327:I1327"/>
    <mergeCell ref="C1347:I1347"/>
    <mergeCell ref="C1365:I1365"/>
    <mergeCell ref="C1366:I1366"/>
  </mergeCells>
  <pageMargins left="0.7" right="0.7" top="0.75" bottom="0.75" header="0.3" footer="0.3"/>
  <pageSetup paperSize="9" scale="45" fitToHeight="0" orientation="portrait"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245"/>
  <sheetViews>
    <sheetView topLeftCell="D1" zoomScale="70" zoomScaleNormal="70" workbookViewId="0">
      <pane ySplit="10" topLeftCell="A242" activePane="bottomLeft" state="frozen"/>
      <selection pane="bottomLeft" activeCell="S247" sqref="S247"/>
    </sheetView>
  </sheetViews>
  <sheetFormatPr defaultColWidth="9.140625" defaultRowHeight="15"/>
  <cols>
    <col min="1" max="1" width="2.5703125" style="35" customWidth="1"/>
    <col min="2" max="2" width="9.85546875" style="21" customWidth="1"/>
    <col min="3" max="3" width="40.7109375" style="12" customWidth="1"/>
    <col min="4" max="4" width="17.140625" style="12" customWidth="1"/>
    <col min="5" max="5" width="14.28515625" style="11" customWidth="1"/>
    <col min="6" max="6" width="14.85546875" style="4" customWidth="1"/>
    <col min="7" max="7" width="15.28515625" style="4" customWidth="1"/>
    <col min="8" max="10" width="16.42578125" style="4" customWidth="1"/>
    <col min="11" max="11" width="12.85546875" style="365" customWidth="1"/>
    <col min="12" max="12" width="11.28515625" style="64" customWidth="1"/>
    <col min="13" max="13" width="16.5703125" style="355" customWidth="1"/>
    <col min="14" max="15" width="15.42578125" style="355" customWidth="1"/>
    <col min="16" max="16" width="17" style="355" customWidth="1"/>
    <col min="17" max="18" width="18" style="355" customWidth="1"/>
    <col min="19" max="19" width="19" style="355" customWidth="1"/>
    <col min="20" max="16384" width="9.140625" style="34"/>
  </cols>
  <sheetData>
    <row r="1" spans="1:19">
      <c r="B1" s="14"/>
      <c r="C1" s="22"/>
      <c r="D1" s="7"/>
      <c r="E1" s="5"/>
      <c r="F1" s="13"/>
      <c r="G1" s="13"/>
      <c r="H1" s="13"/>
      <c r="I1" s="13"/>
      <c r="J1" s="13"/>
    </row>
    <row r="2" spans="1:19" ht="31.9" customHeight="1">
      <c r="A2" s="34"/>
      <c r="B2" s="691" t="s">
        <v>1158</v>
      </c>
      <c r="C2" s="691"/>
      <c r="D2" s="691"/>
      <c r="E2" s="691"/>
      <c r="F2" s="691"/>
      <c r="G2" s="691"/>
      <c r="H2" s="691"/>
      <c r="I2" s="691"/>
      <c r="J2" s="691"/>
      <c r="K2" s="691"/>
      <c r="L2" s="691"/>
      <c r="M2" s="691"/>
      <c r="N2" s="691"/>
      <c r="O2" s="691"/>
      <c r="P2" s="691"/>
      <c r="Q2" s="691"/>
      <c r="R2" s="691"/>
      <c r="S2" s="691"/>
    </row>
    <row r="3" spans="1:19" ht="9" customHeight="1">
      <c r="A3" s="34"/>
      <c r="B3" s="246"/>
      <c r="C3" s="246"/>
      <c r="D3" s="246"/>
      <c r="E3" s="246"/>
      <c r="F3" s="246"/>
      <c r="G3" s="246"/>
      <c r="H3" s="476"/>
      <c r="I3" s="246"/>
      <c r="J3" s="476"/>
      <c r="K3" s="356"/>
      <c r="L3" s="246"/>
      <c r="M3" s="356"/>
      <c r="N3" s="356"/>
      <c r="O3" s="356"/>
      <c r="P3" s="356"/>
      <c r="Q3" s="356"/>
      <c r="R3" s="356"/>
      <c r="S3" s="356"/>
    </row>
    <row r="4" spans="1:19" ht="20.25" customHeight="1">
      <c r="A4" s="34"/>
      <c r="B4" s="830" t="s">
        <v>937</v>
      </c>
      <c r="C4" s="830"/>
      <c r="D4" s="830"/>
      <c r="E4" s="830"/>
      <c r="F4" s="830"/>
      <c r="G4" s="830"/>
      <c r="H4" s="830"/>
      <c r="I4" s="830"/>
      <c r="J4" s="830"/>
      <c r="K4" s="830"/>
      <c r="L4" s="830"/>
      <c r="M4" s="830"/>
      <c r="N4" s="830"/>
      <c r="O4" s="830"/>
      <c r="P4" s="830"/>
      <c r="Q4" s="830"/>
      <c r="R4" s="830"/>
      <c r="S4" s="830"/>
    </row>
    <row r="5" spans="1:19">
      <c r="A5" s="34"/>
      <c r="B5" s="20"/>
      <c r="C5" s="10"/>
      <c r="D5" s="10"/>
      <c r="E5" s="10"/>
      <c r="F5" s="10"/>
      <c r="G5" s="10"/>
      <c r="H5" s="10"/>
      <c r="I5" s="60"/>
      <c r="J5" s="3"/>
      <c r="K5" s="504"/>
      <c r="L5" s="505"/>
      <c r="M5" s="357"/>
      <c r="N5" s="357"/>
      <c r="O5" s="357"/>
      <c r="P5" s="357"/>
      <c r="Q5" s="357"/>
      <c r="R5" s="357"/>
      <c r="S5" s="357"/>
    </row>
    <row r="6" spans="1:19" ht="33.75" customHeight="1">
      <c r="A6" s="34"/>
      <c r="B6" s="818" t="s">
        <v>1148</v>
      </c>
      <c r="C6" s="818"/>
      <c r="D6" s="818"/>
      <c r="E6" s="818"/>
      <c r="F6" s="818"/>
      <c r="G6" s="818"/>
      <c r="H6" s="818"/>
      <c r="I6" s="818"/>
      <c r="J6" s="818"/>
      <c r="K6" s="818"/>
      <c r="L6" s="818"/>
      <c r="M6" s="818"/>
      <c r="N6" s="818"/>
      <c r="O6" s="818"/>
      <c r="P6" s="818"/>
      <c r="Q6" s="818"/>
      <c r="R6" s="818"/>
      <c r="S6" s="818"/>
    </row>
    <row r="7" spans="1:19" ht="20.25" customHeight="1">
      <c r="B7" s="827" t="s">
        <v>0</v>
      </c>
      <c r="C7" s="827" t="s">
        <v>1</v>
      </c>
      <c r="D7" s="827" t="s">
        <v>342</v>
      </c>
      <c r="E7" s="827" t="s">
        <v>938</v>
      </c>
      <c r="F7" s="827"/>
      <c r="G7" s="827"/>
      <c r="H7" s="827"/>
      <c r="I7" s="827"/>
      <c r="J7" s="645"/>
      <c r="K7" s="828" t="s">
        <v>344</v>
      </c>
      <c r="L7" s="829" t="s">
        <v>652</v>
      </c>
      <c r="M7" s="822" t="s">
        <v>941</v>
      </c>
      <c r="N7" s="822"/>
      <c r="O7" s="822"/>
      <c r="P7" s="822"/>
      <c r="Q7" s="822"/>
      <c r="R7" s="650"/>
      <c r="S7" s="822" t="s">
        <v>942</v>
      </c>
    </row>
    <row r="8" spans="1:19" ht="39.75" customHeight="1">
      <c r="B8" s="827"/>
      <c r="C8" s="827"/>
      <c r="D8" s="827"/>
      <c r="E8" s="495">
        <v>2018</v>
      </c>
      <c r="F8" s="495">
        <v>2019</v>
      </c>
      <c r="G8" s="495">
        <v>2020</v>
      </c>
      <c r="H8" s="495">
        <v>2021</v>
      </c>
      <c r="I8" s="495">
        <v>2022</v>
      </c>
      <c r="J8" s="653">
        <v>2023</v>
      </c>
      <c r="K8" s="828"/>
      <c r="L8" s="829"/>
      <c r="M8" s="495">
        <v>2018</v>
      </c>
      <c r="N8" s="495">
        <v>2019</v>
      </c>
      <c r="O8" s="495">
        <v>2020</v>
      </c>
      <c r="P8" s="495">
        <v>2021</v>
      </c>
      <c r="Q8" s="495">
        <v>2022</v>
      </c>
      <c r="R8" s="653">
        <v>2023</v>
      </c>
      <c r="S8" s="822"/>
    </row>
    <row r="9" spans="1:19" ht="24" customHeight="1">
      <c r="A9" s="61"/>
      <c r="B9" s="506"/>
      <c r="C9" s="506"/>
      <c r="D9" s="506"/>
      <c r="E9" s="507"/>
      <c r="F9" s="507"/>
      <c r="G9" s="507"/>
      <c r="H9" s="507"/>
      <c r="I9" s="507"/>
      <c r="J9" s="507"/>
      <c r="K9" s="508"/>
      <c r="L9" s="570">
        <v>7.4999999999999997E-2</v>
      </c>
      <c r="M9" s="510">
        <f>'General assumption'!D5</f>
        <v>1</v>
      </c>
      <c r="N9" s="510">
        <f>'General assumption'!E5</f>
        <v>1.075</v>
      </c>
      <c r="O9" s="510">
        <f>'General assumption'!F5</f>
        <v>1.1556249999999999</v>
      </c>
      <c r="P9" s="510">
        <f>'General assumption'!G5</f>
        <v>1.2422968749999999</v>
      </c>
      <c r="Q9" s="510">
        <f>'General assumption'!H5</f>
        <v>1.3354691406249999</v>
      </c>
      <c r="R9" s="510">
        <f>'General assumption'!I5</f>
        <v>1.4356293261718749</v>
      </c>
      <c r="S9" s="511"/>
    </row>
    <row r="10" spans="1:19" ht="24" customHeight="1">
      <c r="A10" s="61"/>
      <c r="B10" s="506"/>
      <c r="C10" s="506"/>
      <c r="D10" s="506"/>
      <c r="E10" s="512"/>
      <c r="F10" s="512"/>
      <c r="G10" s="512"/>
      <c r="H10" s="512"/>
      <c r="I10" s="512"/>
      <c r="J10" s="512"/>
      <c r="K10" s="513"/>
      <c r="L10" s="509">
        <v>0.05</v>
      </c>
      <c r="M10" s="510">
        <f>'General assumption'!D6</f>
        <v>1</v>
      </c>
      <c r="N10" s="510">
        <f>'General assumption'!E6</f>
        <v>1.05</v>
      </c>
      <c r="O10" s="510">
        <f>'General assumption'!F6</f>
        <v>1.1025</v>
      </c>
      <c r="P10" s="510">
        <f>'General assumption'!G6</f>
        <v>1.1576250000000001</v>
      </c>
      <c r="Q10" s="510">
        <f>'General assumption'!H6</f>
        <v>1.2155062500000002</v>
      </c>
      <c r="R10" s="510">
        <f>'General assumption'!I6</f>
        <v>1.2762815625000004</v>
      </c>
      <c r="S10" s="511"/>
    </row>
    <row r="11" spans="1:19" ht="28.5" customHeight="1">
      <c r="B11" s="817" t="s">
        <v>1130</v>
      </c>
      <c r="C11" s="817"/>
      <c r="D11" s="817"/>
      <c r="E11" s="817"/>
      <c r="F11" s="817"/>
      <c r="G11" s="817"/>
      <c r="H11" s="817"/>
      <c r="I11" s="817"/>
      <c r="J11" s="817"/>
      <c r="K11" s="817"/>
      <c r="L11" s="817"/>
      <c r="M11" s="817"/>
      <c r="N11" s="817"/>
      <c r="O11" s="817"/>
      <c r="P11" s="817"/>
      <c r="Q11" s="817"/>
      <c r="R11" s="817"/>
      <c r="S11" s="817"/>
    </row>
    <row r="12" spans="1:19" s="563" customFormat="1" ht="34.5" customHeight="1">
      <c r="A12" s="40"/>
      <c r="B12" s="825" t="s">
        <v>3</v>
      </c>
      <c r="C12" s="826" t="s">
        <v>306</v>
      </c>
      <c r="D12" s="15" t="s">
        <v>298</v>
      </c>
      <c r="E12" s="37">
        <f t="shared" ref="E12:J12" si="0">E13+E14+E15</f>
        <v>66469</v>
      </c>
      <c r="F12" s="37">
        <f t="shared" si="0"/>
        <v>66469</v>
      </c>
      <c r="G12" s="37">
        <f t="shared" si="0"/>
        <v>66469</v>
      </c>
      <c r="H12" s="37">
        <f t="shared" si="0"/>
        <v>66469</v>
      </c>
      <c r="I12" s="37">
        <f t="shared" si="0"/>
        <v>66469</v>
      </c>
      <c r="J12" s="647">
        <f t="shared" si="0"/>
        <v>66469</v>
      </c>
      <c r="K12" s="514">
        <f>(K13+K14+K15)/3</f>
        <v>124.5585241127619</v>
      </c>
      <c r="L12" s="515"/>
      <c r="M12" s="493">
        <f t="shared" ref="M12:R12" si="1">M13+M14+M15</f>
        <v>8236792.3167368835</v>
      </c>
      <c r="N12" s="493">
        <f t="shared" si="1"/>
        <v>8854551.7404921502</v>
      </c>
      <c r="O12" s="493">
        <f t="shared" si="1"/>
        <v>9518643.1210290603</v>
      </c>
      <c r="P12" s="493">
        <f t="shared" si="1"/>
        <v>10232541.355106238</v>
      </c>
      <c r="Q12" s="493">
        <f t="shared" si="1"/>
        <v>10999981.956739208</v>
      </c>
      <c r="R12" s="493">
        <f t="shared" si="1"/>
        <v>11824980.603494648</v>
      </c>
      <c r="S12" s="358">
        <f>SUM(M12:R12)</f>
        <v>59667491.093598187</v>
      </c>
    </row>
    <row r="13" spans="1:19" ht="34.5" customHeight="1">
      <c r="B13" s="825"/>
      <c r="C13" s="826"/>
      <c r="D13" s="494" t="s">
        <v>346</v>
      </c>
      <c r="E13" s="491">
        <f>'Impl plan'!E9</f>
        <v>2506</v>
      </c>
      <c r="F13" s="491">
        <f>'Impl plan'!F9</f>
        <v>2506</v>
      </c>
      <c r="G13" s="491">
        <f>'Impl plan'!G9</f>
        <v>2506</v>
      </c>
      <c r="H13" s="491">
        <f>'Impl plan'!H9</f>
        <v>2506</v>
      </c>
      <c r="I13" s="491">
        <f>'Impl plan'!I9</f>
        <v>2506</v>
      </c>
      <c r="J13" s="491">
        <f>'Impl plan'!J9</f>
        <v>2506</v>
      </c>
      <c r="K13" s="516">
        <f>'Unit Cost'!G26</f>
        <v>126</v>
      </c>
      <c r="L13" s="570">
        <v>7.4999999999999997E-2</v>
      </c>
      <c r="M13" s="493">
        <f t="shared" ref="M13:R15" si="2">E13*$K13*M$9</f>
        <v>315756</v>
      </c>
      <c r="N13" s="493">
        <f t="shared" si="2"/>
        <v>339437.7</v>
      </c>
      <c r="O13" s="493">
        <f t="shared" si="2"/>
        <v>364895.52749999997</v>
      </c>
      <c r="P13" s="493">
        <f t="shared" si="2"/>
        <v>392262.69206249993</v>
      </c>
      <c r="Q13" s="493">
        <f t="shared" si="2"/>
        <v>421682.39396718744</v>
      </c>
      <c r="R13" s="493">
        <f t="shared" si="2"/>
        <v>453308.57351472654</v>
      </c>
      <c r="S13" s="358">
        <f t="shared" ref="S13:S22" si="3">SUM(M13:R13)</f>
        <v>2287342.8870444139</v>
      </c>
    </row>
    <row r="14" spans="1:19" ht="34.5" customHeight="1">
      <c r="B14" s="825"/>
      <c r="C14" s="826"/>
      <c r="D14" s="494" t="s">
        <v>349</v>
      </c>
      <c r="E14" s="491">
        <f>'Impl plan'!E10</f>
        <v>26878</v>
      </c>
      <c r="F14" s="491">
        <f>'Impl plan'!F10</f>
        <v>26878</v>
      </c>
      <c r="G14" s="491">
        <f>'Impl plan'!G10</f>
        <v>26878</v>
      </c>
      <c r="H14" s="491">
        <f>'Impl plan'!H10</f>
        <v>26878</v>
      </c>
      <c r="I14" s="491">
        <f>'Impl plan'!I10</f>
        <v>26878</v>
      </c>
      <c r="J14" s="491">
        <f>'Impl plan'!J10</f>
        <v>26878</v>
      </c>
      <c r="K14" s="358">
        <f>'Unit Cost'!G31</f>
        <v>123.83778616914284</v>
      </c>
      <c r="L14" s="570">
        <v>7.4999999999999997E-2</v>
      </c>
      <c r="M14" s="493">
        <f t="shared" si="2"/>
        <v>3328512.0166542213</v>
      </c>
      <c r="N14" s="493">
        <f t="shared" si="2"/>
        <v>3578150.4179032878</v>
      </c>
      <c r="O14" s="493">
        <f t="shared" si="2"/>
        <v>3846511.699246034</v>
      </c>
      <c r="P14" s="493">
        <f t="shared" si="2"/>
        <v>4135000.0766894869</v>
      </c>
      <c r="Q14" s="493">
        <f t="shared" si="2"/>
        <v>4445125.0824411986</v>
      </c>
      <c r="R14" s="493">
        <f t="shared" si="2"/>
        <v>4778509.4636242883</v>
      </c>
      <c r="S14" s="358">
        <f t="shared" si="3"/>
        <v>24111808.756558515</v>
      </c>
    </row>
    <row r="15" spans="1:19" ht="34.5" customHeight="1">
      <c r="B15" s="825"/>
      <c r="C15" s="826"/>
      <c r="D15" s="494" t="s">
        <v>350</v>
      </c>
      <c r="E15" s="491">
        <f>'Impl plan'!E11</f>
        <v>37085</v>
      </c>
      <c r="F15" s="491">
        <f>'Impl plan'!F11</f>
        <v>37085</v>
      </c>
      <c r="G15" s="491">
        <f>'Impl plan'!G11</f>
        <v>37085</v>
      </c>
      <c r="H15" s="491">
        <f>'Impl plan'!H11</f>
        <v>37085</v>
      </c>
      <c r="I15" s="491">
        <f>'Impl plan'!I11</f>
        <v>37085</v>
      </c>
      <c r="J15" s="491">
        <f>'Impl plan'!J11</f>
        <v>37085</v>
      </c>
      <c r="K15" s="358">
        <f>'Unit Cost'!G37</f>
        <v>123.83778616914284</v>
      </c>
      <c r="L15" s="570">
        <v>7.4999999999999997E-2</v>
      </c>
      <c r="M15" s="493">
        <f t="shared" si="2"/>
        <v>4592524.3000826621</v>
      </c>
      <c r="N15" s="493">
        <f t="shared" si="2"/>
        <v>4936963.6225888617</v>
      </c>
      <c r="O15" s="493">
        <f t="shared" si="2"/>
        <v>5307235.8942830255</v>
      </c>
      <c r="P15" s="493">
        <f t="shared" si="2"/>
        <v>5705278.5863542529</v>
      </c>
      <c r="Q15" s="493">
        <f t="shared" si="2"/>
        <v>6133174.4803308221</v>
      </c>
      <c r="R15" s="493">
        <f t="shared" si="2"/>
        <v>6593162.5663556335</v>
      </c>
      <c r="S15" s="358">
        <f t="shared" si="3"/>
        <v>33268339.449995257</v>
      </c>
    </row>
    <row r="16" spans="1:19" ht="34.5" customHeight="1">
      <c r="A16" s="34"/>
      <c r="B16" s="825"/>
      <c r="C16" s="826"/>
      <c r="D16" s="494" t="s">
        <v>299</v>
      </c>
      <c r="E16" s="37">
        <f>'Impl plan'!E12</f>
        <v>19355</v>
      </c>
      <c r="F16" s="37">
        <f>'Impl plan'!F12</f>
        <v>19355</v>
      </c>
      <c r="G16" s="37">
        <f>'Impl plan'!G12</f>
        <v>19355</v>
      </c>
      <c r="H16" s="37">
        <f>'Impl plan'!H12</f>
        <v>19355</v>
      </c>
      <c r="I16" s="37">
        <f>'Impl plan'!I12</f>
        <v>19355</v>
      </c>
      <c r="J16" s="647">
        <f>'Impl plan'!J12</f>
        <v>19355</v>
      </c>
      <c r="K16" s="518">
        <f>'Unit Cost'!G43</f>
        <v>120.35197315047375</v>
      </c>
      <c r="L16" s="570">
        <v>7.4999999999999997E-2</v>
      </c>
      <c r="M16" s="493">
        <f t="shared" ref="M16:M19" si="4">E16*$K16*M$9</f>
        <v>2329412.4403274194</v>
      </c>
      <c r="N16" s="493">
        <f t="shared" ref="N16:N20" si="5">F16*$K16*N$9</f>
        <v>2504118.3733519758</v>
      </c>
      <c r="O16" s="493">
        <f t="shared" ref="O16:O20" si="6">G16*$K16*O$9</f>
        <v>2691927.2513533738</v>
      </c>
      <c r="P16" s="493">
        <f t="shared" ref="P16:P20" si="7">H16*$K16*P$9</f>
        <v>2893821.7952048769</v>
      </c>
      <c r="Q16" s="493">
        <f t="shared" ref="Q16:R20" si="8">I16*$K16*Q$9</f>
        <v>3110858.4298452428</v>
      </c>
      <c r="R16" s="493">
        <f t="shared" si="8"/>
        <v>3344172.8120836359</v>
      </c>
      <c r="S16" s="358">
        <f t="shared" si="3"/>
        <v>16874311.102166526</v>
      </c>
    </row>
    <row r="17" spans="1:19" ht="34.5" customHeight="1">
      <c r="A17" s="34"/>
      <c r="B17" s="825"/>
      <c r="C17" s="826"/>
      <c r="D17" s="494" t="s">
        <v>300</v>
      </c>
      <c r="E17" s="37">
        <f>'Impl plan'!E13</f>
        <v>7649</v>
      </c>
      <c r="F17" s="37">
        <f>'Impl plan'!F13</f>
        <v>7649</v>
      </c>
      <c r="G17" s="37">
        <f>'Impl plan'!G13</f>
        <v>7649</v>
      </c>
      <c r="H17" s="37">
        <f>'Impl plan'!H13</f>
        <v>7649</v>
      </c>
      <c r="I17" s="37">
        <f>'Impl plan'!I13</f>
        <v>7649</v>
      </c>
      <c r="J17" s="647">
        <f>'Impl plan'!J13</f>
        <v>7649</v>
      </c>
      <c r="K17" s="518">
        <f>'Unit Cost'!G49</f>
        <v>114.45</v>
      </c>
      <c r="L17" s="570">
        <v>7.4999999999999997E-2</v>
      </c>
      <c r="M17" s="493">
        <f t="shared" si="4"/>
        <v>875428.05</v>
      </c>
      <c r="N17" s="493">
        <f t="shared" si="5"/>
        <v>941085.15375000006</v>
      </c>
      <c r="O17" s="493">
        <f t="shared" si="6"/>
        <v>1011666.54028125</v>
      </c>
      <c r="P17" s="493">
        <f t="shared" si="7"/>
        <v>1087541.5308023437</v>
      </c>
      <c r="Q17" s="493">
        <f t="shared" si="8"/>
        <v>1169107.1456125195</v>
      </c>
      <c r="R17" s="493">
        <f t="shared" si="8"/>
        <v>1256790.1815334584</v>
      </c>
      <c r="S17" s="358">
        <f t="shared" si="3"/>
        <v>6341618.6019795714</v>
      </c>
    </row>
    <row r="18" spans="1:19" ht="34.5" customHeight="1">
      <c r="A18" s="34"/>
      <c r="B18" s="825"/>
      <c r="C18" s="826"/>
      <c r="D18" s="494" t="s">
        <v>301</v>
      </c>
      <c r="E18" s="37">
        <f>'Impl plan'!E14</f>
        <v>35593</v>
      </c>
      <c r="F18" s="37">
        <f>'Impl plan'!F14</f>
        <v>35593</v>
      </c>
      <c r="G18" s="37">
        <f>'Impl plan'!G14</f>
        <v>35593</v>
      </c>
      <c r="H18" s="37">
        <f>'Impl plan'!H14</f>
        <v>35593</v>
      </c>
      <c r="I18" s="37">
        <f>'Impl plan'!I14</f>
        <v>35593</v>
      </c>
      <c r="J18" s="647">
        <f>'Impl plan'!J14</f>
        <v>35593</v>
      </c>
      <c r="K18" s="518">
        <f>'Unit Cost'!G55</f>
        <v>100.3065</v>
      </c>
      <c r="L18" s="570">
        <v>7.4999999999999997E-2</v>
      </c>
      <c r="M18" s="493">
        <f t="shared" si="4"/>
        <v>3570209.2544999998</v>
      </c>
      <c r="N18" s="493">
        <f t="shared" si="5"/>
        <v>3837974.9485874996</v>
      </c>
      <c r="O18" s="493">
        <f t="shared" si="6"/>
        <v>4125823.0697315619</v>
      </c>
      <c r="P18" s="493">
        <f t="shared" si="7"/>
        <v>4435259.7999614291</v>
      </c>
      <c r="Q18" s="493">
        <f t="shared" si="8"/>
        <v>4767904.2849585358</v>
      </c>
      <c r="R18" s="493">
        <f t="shared" si="8"/>
        <v>5125497.1063304264</v>
      </c>
      <c r="S18" s="358">
        <f t="shared" si="3"/>
        <v>25862668.464069448</v>
      </c>
    </row>
    <row r="19" spans="1:19" ht="34.5" customHeight="1">
      <c r="B19" s="825"/>
      <c r="C19" s="826"/>
      <c r="D19" s="494" t="s">
        <v>302</v>
      </c>
      <c r="E19" s="37">
        <f>'Impl plan'!E15</f>
        <v>24016</v>
      </c>
      <c r="F19" s="37">
        <f>'Impl plan'!F15</f>
        <v>24016</v>
      </c>
      <c r="G19" s="37">
        <f>'Impl plan'!G15</f>
        <v>24016</v>
      </c>
      <c r="H19" s="37">
        <f>'Impl plan'!H15</f>
        <v>24016</v>
      </c>
      <c r="I19" s="37">
        <f>'Impl plan'!I15</f>
        <v>24016</v>
      </c>
      <c r="J19" s="647">
        <f>'Impl plan'!J15</f>
        <v>24016</v>
      </c>
      <c r="K19" s="518">
        <f>'Unit Cost'!G75</f>
        <v>265.21664692521915</v>
      </c>
      <c r="L19" s="570">
        <v>7.4999999999999997E-2</v>
      </c>
      <c r="M19" s="493">
        <f t="shared" si="4"/>
        <v>6369442.9925560635</v>
      </c>
      <c r="N19" s="493">
        <f t="shared" si="5"/>
        <v>6847151.2169977678</v>
      </c>
      <c r="O19" s="493">
        <f t="shared" si="6"/>
        <v>7360687.5582726002</v>
      </c>
      <c r="P19" s="493">
        <f t="shared" si="7"/>
        <v>7912739.1251430446</v>
      </c>
      <c r="Q19" s="493">
        <f t="shared" si="8"/>
        <v>8506194.5595287737</v>
      </c>
      <c r="R19" s="493">
        <f t="shared" si="8"/>
        <v>9144159.151493432</v>
      </c>
      <c r="S19" s="358">
        <f t="shared" si="3"/>
        <v>46140374.60399168</v>
      </c>
    </row>
    <row r="20" spans="1:19" ht="34.5" customHeight="1">
      <c r="B20" s="825"/>
      <c r="C20" s="826"/>
      <c r="D20" s="494" t="s">
        <v>303</v>
      </c>
      <c r="E20" s="37">
        <f>'Impl plan'!E16</f>
        <v>679</v>
      </c>
      <c r="F20" s="37">
        <f>'Impl plan'!F16</f>
        <v>679</v>
      </c>
      <c r="G20" s="37">
        <f>'Impl plan'!G16</f>
        <v>679</v>
      </c>
      <c r="H20" s="37">
        <f>'Impl plan'!H16</f>
        <v>679</v>
      </c>
      <c r="I20" s="37">
        <f>'Impl plan'!I16</f>
        <v>679</v>
      </c>
      <c r="J20" s="647">
        <f>'Impl plan'!J16</f>
        <v>679</v>
      </c>
      <c r="K20" s="518">
        <f>'Unit Cost'!G80</f>
        <v>265.21664692521915</v>
      </c>
      <c r="L20" s="570">
        <v>7.4999999999999997E-2</v>
      </c>
      <c r="M20" s="493">
        <f>E20*$K20*M$9</f>
        <v>180082.1032622238</v>
      </c>
      <c r="N20" s="493">
        <f t="shared" si="5"/>
        <v>193588.26100689056</v>
      </c>
      <c r="O20" s="493">
        <f t="shared" si="6"/>
        <v>208107.38058240735</v>
      </c>
      <c r="P20" s="493">
        <f t="shared" si="7"/>
        <v>223715.4341260879</v>
      </c>
      <c r="Q20" s="493">
        <f t="shared" si="8"/>
        <v>240494.0916855445</v>
      </c>
      <c r="R20" s="493">
        <f t="shared" si="8"/>
        <v>258531.14856196035</v>
      </c>
      <c r="S20" s="358">
        <f t="shared" si="3"/>
        <v>1304518.4192251144</v>
      </c>
    </row>
    <row r="21" spans="1:19" ht="47.25" customHeight="1">
      <c r="B21" s="825"/>
      <c r="C21" s="826"/>
      <c r="D21" s="640" t="s">
        <v>338</v>
      </c>
      <c r="E21" s="492">
        <f>'Impl plan'!E17</f>
        <v>13335300</v>
      </c>
      <c r="F21" s="492">
        <f>'Impl plan'!F17</f>
        <v>13335300</v>
      </c>
      <c r="G21" s="492">
        <f>'Impl plan'!G17</f>
        <v>13335300</v>
      </c>
      <c r="H21" s="492">
        <f>'Impl plan'!H17</f>
        <v>13335300</v>
      </c>
      <c r="I21" s="492">
        <f>'Impl plan'!I17</f>
        <v>13335300</v>
      </c>
      <c r="J21" s="492">
        <f>'Impl plan'!J17</f>
        <v>13335300</v>
      </c>
      <c r="K21" s="637">
        <f>'Unit Cost'!G86</f>
        <v>7.0000000000000007E-2</v>
      </c>
      <c r="L21" s="519">
        <v>0.05</v>
      </c>
      <c r="M21" s="493">
        <f t="shared" ref="M21:R22" si="9">E21*$K21*M$10</f>
        <v>933471.00000000012</v>
      </c>
      <c r="N21" s="493">
        <f t="shared" si="9"/>
        <v>980144.55000000016</v>
      </c>
      <c r="O21" s="493">
        <f t="shared" si="9"/>
        <v>1029151.7775000002</v>
      </c>
      <c r="P21" s="493">
        <f t="shared" si="9"/>
        <v>1080609.3663750002</v>
      </c>
      <c r="Q21" s="493">
        <f t="shared" si="9"/>
        <v>1134639.8346937504</v>
      </c>
      <c r="R21" s="493">
        <f t="shared" si="9"/>
        <v>1191371.8264284381</v>
      </c>
      <c r="S21" s="358">
        <f t="shared" si="3"/>
        <v>6349388.3549971897</v>
      </c>
    </row>
    <row r="22" spans="1:19" ht="47.25" customHeight="1">
      <c r="B22" s="825"/>
      <c r="C22" s="826"/>
      <c r="D22" s="640" t="s">
        <v>339</v>
      </c>
      <c r="E22" s="492">
        <f>'Impl plan'!E18</f>
        <v>80000000</v>
      </c>
      <c r="F22" s="492">
        <f>'Impl plan'!F18</f>
        <v>80000000</v>
      </c>
      <c r="G22" s="492">
        <f>'Impl plan'!G18</f>
        <v>80000000</v>
      </c>
      <c r="H22" s="492">
        <f>'Impl plan'!H18</f>
        <v>80000000</v>
      </c>
      <c r="I22" s="492">
        <f>'Impl plan'!I18</f>
        <v>80000000</v>
      </c>
      <c r="J22" s="492">
        <f>'Impl plan'!J18</f>
        <v>80000000</v>
      </c>
      <c r="K22" s="637">
        <f>'Unit Cost'!G92</f>
        <v>0.04</v>
      </c>
      <c r="L22" s="519">
        <v>0.05</v>
      </c>
      <c r="M22" s="493">
        <f t="shared" si="9"/>
        <v>3200000</v>
      </c>
      <c r="N22" s="493">
        <f t="shared" si="9"/>
        <v>3360000</v>
      </c>
      <c r="O22" s="493">
        <f t="shared" si="9"/>
        <v>3528000</v>
      </c>
      <c r="P22" s="493">
        <f t="shared" si="9"/>
        <v>3704400.0000000005</v>
      </c>
      <c r="Q22" s="493">
        <f t="shared" si="9"/>
        <v>3889620.0000000009</v>
      </c>
      <c r="R22" s="493">
        <f t="shared" si="9"/>
        <v>4084101.0000000009</v>
      </c>
      <c r="S22" s="358">
        <f t="shared" si="3"/>
        <v>21766121</v>
      </c>
    </row>
    <row r="23" spans="1:19" ht="29.25" customHeight="1">
      <c r="B23" s="520"/>
      <c r="C23" s="520" t="s">
        <v>378</v>
      </c>
      <c r="D23" s="521"/>
      <c r="E23" s="41"/>
      <c r="F23" s="41"/>
      <c r="G23" s="42"/>
      <c r="H23" s="522"/>
      <c r="I23" s="522"/>
      <c r="J23" s="522"/>
      <c r="K23" s="360"/>
      <c r="L23" s="523"/>
      <c r="M23" s="360">
        <f>M12+M16+M17+M18+M19+M20+M21+M22</f>
        <v>25694838.157382593</v>
      </c>
      <c r="N23" s="360">
        <f t="shared" ref="N23:R23" si="10">N12+N16+N17+N18+N19+N20+N21+N22</f>
        <v>27518614.244186286</v>
      </c>
      <c r="O23" s="360">
        <f t="shared" si="10"/>
        <v>29474006.698750254</v>
      </c>
      <c r="P23" s="360">
        <f t="shared" si="10"/>
        <v>31570628.406719018</v>
      </c>
      <c r="Q23" s="360">
        <f t="shared" si="10"/>
        <v>33818800.303063571</v>
      </c>
      <c r="R23" s="360">
        <f t="shared" si="10"/>
        <v>36229603.829926006</v>
      </c>
      <c r="S23" s="360">
        <f>SUM(M23:R23)</f>
        <v>184306491.64002773</v>
      </c>
    </row>
    <row r="24" spans="1:19" ht="36" customHeight="1">
      <c r="B24" s="824" t="s">
        <v>5</v>
      </c>
      <c r="C24" s="684" t="s">
        <v>341</v>
      </c>
      <c r="D24" s="494" t="s">
        <v>298</v>
      </c>
      <c r="E24" s="490">
        <f>'Impl plan'!E19</f>
        <v>66469</v>
      </c>
      <c r="F24" s="490">
        <f>'Impl plan'!F19</f>
        <v>66469</v>
      </c>
      <c r="G24" s="490">
        <f>'Impl plan'!G19</f>
        <v>66469</v>
      </c>
      <c r="H24" s="490">
        <f>'Impl plan'!H19</f>
        <v>66469</v>
      </c>
      <c r="I24" s="490">
        <f>'Impl plan'!I19</f>
        <v>66469</v>
      </c>
      <c r="J24" s="490">
        <f>'Impl plan'!J19</f>
        <v>66469</v>
      </c>
      <c r="K24" s="524">
        <f>'Unit Cost'!G98</f>
        <v>4</v>
      </c>
      <c r="L24" s="525">
        <v>0.05</v>
      </c>
      <c r="M24" s="493">
        <f t="shared" ref="M24:R24" si="11">E24*$K24*M$10</f>
        <v>265876</v>
      </c>
      <c r="N24" s="493">
        <f t="shared" si="11"/>
        <v>279169.8</v>
      </c>
      <c r="O24" s="493">
        <f t="shared" si="11"/>
        <v>293128.29000000004</v>
      </c>
      <c r="P24" s="493">
        <f t="shared" si="11"/>
        <v>307784.70450000005</v>
      </c>
      <c r="Q24" s="493">
        <f t="shared" si="11"/>
        <v>323173.93972500006</v>
      </c>
      <c r="R24" s="493">
        <f t="shared" si="11"/>
        <v>339332.63671125012</v>
      </c>
      <c r="S24" s="358">
        <f>SUM(M24:R24)</f>
        <v>1808465.3709362503</v>
      </c>
    </row>
    <row r="25" spans="1:19" ht="36" customHeight="1">
      <c r="A25" s="34"/>
      <c r="B25" s="824"/>
      <c r="C25" s="684"/>
      <c r="D25" s="494" t="s">
        <v>299</v>
      </c>
      <c r="E25" s="490">
        <f>'Impl plan'!E20</f>
        <v>19355</v>
      </c>
      <c r="F25" s="490">
        <f>'Impl plan'!F20</f>
        <v>19355</v>
      </c>
      <c r="G25" s="490">
        <f>'Impl plan'!G20</f>
        <v>19355</v>
      </c>
      <c r="H25" s="490">
        <f>'Impl plan'!H20</f>
        <v>19355</v>
      </c>
      <c r="I25" s="490">
        <f>'Impl plan'!I20</f>
        <v>19355</v>
      </c>
      <c r="J25" s="490">
        <f>'Impl plan'!J20</f>
        <v>19355</v>
      </c>
      <c r="K25" s="526">
        <f>'Unit Cost'!G105</f>
        <v>4</v>
      </c>
      <c r="L25" s="527">
        <v>0.05</v>
      </c>
      <c r="M25" s="493">
        <f t="shared" ref="M25:M29" si="12">E25*$K25*M$10</f>
        <v>77420</v>
      </c>
      <c r="N25" s="493">
        <f t="shared" ref="N25:N29" si="13">F25*$K25*N$10</f>
        <v>81291</v>
      </c>
      <c r="O25" s="493">
        <f t="shared" ref="O25:O29" si="14">G25*$K25*O$10</f>
        <v>85355.55</v>
      </c>
      <c r="P25" s="493">
        <f t="shared" ref="P25:P29" si="15">H25*$K25*P$10</f>
        <v>89623.327500000014</v>
      </c>
      <c r="Q25" s="493">
        <f t="shared" ref="Q25:R29" si="16">I25*$K25*Q$10</f>
        <v>94104.493875000015</v>
      </c>
      <c r="R25" s="493">
        <f t="shared" si="16"/>
        <v>98809.718568750031</v>
      </c>
      <c r="S25" s="358">
        <f t="shared" ref="S25:S32" si="17">SUM(M25:R25)</f>
        <v>526604.08994375006</v>
      </c>
    </row>
    <row r="26" spans="1:19" ht="33.75" customHeight="1">
      <c r="A26" s="34"/>
      <c r="B26" s="824"/>
      <c r="C26" s="684"/>
      <c r="D26" s="494" t="s">
        <v>300</v>
      </c>
      <c r="E26" s="490">
        <f>'Impl plan'!E21</f>
        <v>7649</v>
      </c>
      <c r="F26" s="490">
        <f>'Impl plan'!F21</f>
        <v>7649</v>
      </c>
      <c r="G26" s="490">
        <f>'Impl plan'!G21</f>
        <v>7649</v>
      </c>
      <c r="H26" s="490">
        <f>'Impl plan'!H21</f>
        <v>7649</v>
      </c>
      <c r="I26" s="490">
        <f>'Impl plan'!I21</f>
        <v>7649</v>
      </c>
      <c r="J26" s="490">
        <f>'Impl plan'!J21</f>
        <v>7649</v>
      </c>
      <c r="K26" s="526">
        <f>'Unit Cost'!G112</f>
        <v>4</v>
      </c>
      <c r="L26" s="527">
        <v>0.05</v>
      </c>
      <c r="M26" s="493">
        <f t="shared" si="12"/>
        <v>30596</v>
      </c>
      <c r="N26" s="493">
        <f t="shared" si="13"/>
        <v>32125.800000000003</v>
      </c>
      <c r="O26" s="493">
        <f t="shared" si="14"/>
        <v>33732.090000000004</v>
      </c>
      <c r="P26" s="493">
        <f t="shared" si="15"/>
        <v>35418.694500000005</v>
      </c>
      <c r="Q26" s="493">
        <f t="shared" si="16"/>
        <v>37189.629225000004</v>
      </c>
      <c r="R26" s="493">
        <f t="shared" si="16"/>
        <v>39049.110686250009</v>
      </c>
      <c r="S26" s="358">
        <f t="shared" si="17"/>
        <v>208111.32441125004</v>
      </c>
    </row>
    <row r="27" spans="1:19" ht="35.25" customHeight="1">
      <c r="A27" s="34"/>
      <c r="B27" s="824"/>
      <c r="C27" s="684"/>
      <c r="D27" s="494" t="s">
        <v>301</v>
      </c>
      <c r="E27" s="490">
        <f>'Impl plan'!E22</f>
        <v>35593</v>
      </c>
      <c r="F27" s="490">
        <f>'Impl plan'!F22</f>
        <v>35593</v>
      </c>
      <c r="G27" s="490">
        <f>'Impl plan'!G22</f>
        <v>35593</v>
      </c>
      <c r="H27" s="490">
        <f>'Impl plan'!H22</f>
        <v>35593</v>
      </c>
      <c r="I27" s="490">
        <f>'Impl plan'!I22</f>
        <v>35593</v>
      </c>
      <c r="J27" s="490">
        <f>'Impl plan'!J22</f>
        <v>35593</v>
      </c>
      <c r="K27" s="526">
        <f>'Unit Cost'!G119</f>
        <v>4</v>
      </c>
      <c r="L27" s="527">
        <v>0.05</v>
      </c>
      <c r="M27" s="493">
        <f t="shared" si="12"/>
        <v>142372</v>
      </c>
      <c r="N27" s="493">
        <f t="shared" si="13"/>
        <v>149490.6</v>
      </c>
      <c r="O27" s="493">
        <f t="shared" si="14"/>
        <v>156965.13</v>
      </c>
      <c r="P27" s="493">
        <f t="shared" si="15"/>
        <v>164813.38650000002</v>
      </c>
      <c r="Q27" s="493">
        <f t="shared" si="16"/>
        <v>173054.05582500005</v>
      </c>
      <c r="R27" s="493">
        <f t="shared" si="16"/>
        <v>181706.75861625004</v>
      </c>
      <c r="S27" s="358">
        <f t="shared" si="17"/>
        <v>968401.93094125006</v>
      </c>
    </row>
    <row r="28" spans="1:19" ht="35.25" customHeight="1">
      <c r="B28" s="824"/>
      <c r="C28" s="684"/>
      <c r="D28" s="494" t="s">
        <v>302</v>
      </c>
      <c r="E28" s="490">
        <f>'Impl plan'!E23</f>
        <v>24016</v>
      </c>
      <c r="F28" s="490">
        <f>'Impl plan'!F23</f>
        <v>24016</v>
      </c>
      <c r="G28" s="490">
        <f>'Impl plan'!G23</f>
        <v>24016</v>
      </c>
      <c r="H28" s="490">
        <f>'Impl plan'!H23</f>
        <v>24016</v>
      </c>
      <c r="I28" s="490">
        <f>'Impl plan'!I23</f>
        <v>24016</v>
      </c>
      <c r="J28" s="490">
        <f>'Impl plan'!J23</f>
        <v>24016</v>
      </c>
      <c r="K28" s="524">
        <f>'Unit Cost'!G126</f>
        <v>4</v>
      </c>
      <c r="L28" s="525">
        <v>0.05</v>
      </c>
      <c r="M28" s="493">
        <f t="shared" si="12"/>
        <v>96064</v>
      </c>
      <c r="N28" s="493">
        <f t="shared" si="13"/>
        <v>100867.2</v>
      </c>
      <c r="O28" s="493">
        <f t="shared" si="14"/>
        <v>105910.56</v>
      </c>
      <c r="P28" s="493">
        <f t="shared" si="15"/>
        <v>111206.08800000002</v>
      </c>
      <c r="Q28" s="493">
        <f t="shared" si="16"/>
        <v>116766.39240000003</v>
      </c>
      <c r="R28" s="493">
        <f t="shared" si="16"/>
        <v>122604.71202000004</v>
      </c>
      <c r="S28" s="358">
        <f t="shared" si="17"/>
        <v>653418.95241999999</v>
      </c>
    </row>
    <row r="29" spans="1:19" ht="33.75" customHeight="1">
      <c r="B29" s="824"/>
      <c r="C29" s="684"/>
      <c r="D29" s="494" t="s">
        <v>303</v>
      </c>
      <c r="E29" s="490">
        <f>'Impl plan'!E24</f>
        <v>679</v>
      </c>
      <c r="F29" s="490">
        <f>'Impl plan'!F24</f>
        <v>679</v>
      </c>
      <c r="G29" s="490">
        <f>'Impl plan'!G24</f>
        <v>679</v>
      </c>
      <c r="H29" s="490">
        <f>'Impl plan'!H24</f>
        <v>679</v>
      </c>
      <c r="I29" s="490">
        <f>'Impl plan'!I24</f>
        <v>679</v>
      </c>
      <c r="J29" s="490">
        <f>'Impl plan'!J24</f>
        <v>679</v>
      </c>
      <c r="K29" s="524">
        <f>'Unit Cost'!G133</f>
        <v>4</v>
      </c>
      <c r="L29" s="525">
        <v>0.05</v>
      </c>
      <c r="M29" s="493">
        <f t="shared" si="12"/>
        <v>2716</v>
      </c>
      <c r="N29" s="493">
        <f t="shared" si="13"/>
        <v>2851.8</v>
      </c>
      <c r="O29" s="493">
        <f t="shared" si="14"/>
        <v>2994.39</v>
      </c>
      <c r="P29" s="493">
        <f t="shared" si="15"/>
        <v>3144.1095000000005</v>
      </c>
      <c r="Q29" s="493">
        <f t="shared" si="16"/>
        <v>3301.3149750000007</v>
      </c>
      <c r="R29" s="493">
        <f t="shared" si="16"/>
        <v>3466.3807237500009</v>
      </c>
      <c r="S29" s="358">
        <f t="shared" si="17"/>
        <v>18473.995198750003</v>
      </c>
    </row>
    <row r="30" spans="1:19" s="563" customFormat="1" ht="26.25" customHeight="1">
      <c r="A30" s="40"/>
      <c r="B30" s="528"/>
      <c r="C30" s="46" t="s">
        <v>379</v>
      </c>
      <c r="D30" s="528"/>
      <c r="E30" s="59"/>
      <c r="F30" s="59"/>
      <c r="G30" s="59"/>
      <c r="H30" s="59"/>
      <c r="I30" s="59"/>
      <c r="J30" s="59"/>
      <c r="K30" s="529"/>
      <c r="L30" s="530"/>
      <c r="M30" s="361">
        <f>SUM(M24:M29)</f>
        <v>615044</v>
      </c>
      <c r="N30" s="361">
        <f t="shared" ref="N30:Q30" si="18">SUM(N24:N29)</f>
        <v>645796.19999999995</v>
      </c>
      <c r="O30" s="361">
        <f t="shared" si="18"/>
        <v>678086.01000000013</v>
      </c>
      <c r="P30" s="361">
        <f t="shared" si="18"/>
        <v>711990.31050000014</v>
      </c>
      <c r="Q30" s="361">
        <f t="shared" si="18"/>
        <v>747589.82602500007</v>
      </c>
      <c r="R30" s="361">
        <f t="shared" ref="R30" si="19">SUM(R24:R29)</f>
        <v>784969.31732625025</v>
      </c>
      <c r="S30" s="361">
        <f>SUM(M30:R30)</f>
        <v>4183475.6638512509</v>
      </c>
    </row>
    <row r="31" spans="1:19" ht="35.25" customHeight="1">
      <c r="B31" s="824" t="s">
        <v>6</v>
      </c>
      <c r="C31" s="684" t="s">
        <v>218</v>
      </c>
      <c r="D31" s="494" t="s">
        <v>302</v>
      </c>
      <c r="E31" s="37">
        <f>'Impl plan'!E25</f>
        <v>2562</v>
      </c>
      <c r="F31" s="37">
        <f>'Impl plan'!F25</f>
        <v>2562</v>
      </c>
      <c r="G31" s="37">
        <f>'Impl plan'!G25</f>
        <v>2562</v>
      </c>
      <c r="H31" s="37">
        <f>'Impl plan'!H25</f>
        <v>2562</v>
      </c>
      <c r="I31" s="37">
        <f>'Impl plan'!I25</f>
        <v>2562</v>
      </c>
      <c r="J31" s="652">
        <f>'Impl plan'!J25</f>
        <v>2562</v>
      </c>
      <c r="K31" s="358">
        <f>'Unit Cost'!G153</f>
        <v>320</v>
      </c>
      <c r="L31" s="517">
        <v>0.05</v>
      </c>
      <c r="M31" s="493">
        <f t="shared" ref="M31:R31" si="20">E31*$K31*M$10</f>
        <v>819840</v>
      </c>
      <c r="N31" s="493">
        <f t="shared" si="20"/>
        <v>860832</v>
      </c>
      <c r="O31" s="493">
        <f t="shared" si="20"/>
        <v>903873.6</v>
      </c>
      <c r="P31" s="493">
        <f t="shared" si="20"/>
        <v>949067.28000000014</v>
      </c>
      <c r="Q31" s="493">
        <f t="shared" si="20"/>
        <v>996520.6440000002</v>
      </c>
      <c r="R31" s="493">
        <f t="shared" si="20"/>
        <v>1046346.6762000003</v>
      </c>
      <c r="S31" s="358">
        <f t="shared" si="17"/>
        <v>5576480.2002000008</v>
      </c>
    </row>
    <row r="32" spans="1:19" ht="33" customHeight="1">
      <c r="B32" s="824"/>
      <c r="C32" s="684"/>
      <c r="D32" s="494" t="s">
        <v>303</v>
      </c>
      <c r="E32" s="37">
        <f>'Impl plan'!E26</f>
        <v>84</v>
      </c>
      <c r="F32" s="37">
        <f>'Impl plan'!F26</f>
        <v>84</v>
      </c>
      <c r="G32" s="37">
        <f>'Impl plan'!G26</f>
        <v>84</v>
      </c>
      <c r="H32" s="37">
        <f>'Impl plan'!H26</f>
        <v>84</v>
      </c>
      <c r="I32" s="37">
        <f>'Impl plan'!I26</f>
        <v>84</v>
      </c>
      <c r="J32" s="652">
        <f>'Impl plan'!J26</f>
        <v>84</v>
      </c>
      <c r="K32" s="358">
        <f>'Unit Cost'!G153</f>
        <v>320</v>
      </c>
      <c r="L32" s="517">
        <v>0.05</v>
      </c>
      <c r="M32" s="493">
        <f>E32*$K32*M$10</f>
        <v>26880</v>
      </c>
      <c r="N32" s="493">
        <f t="shared" ref="N32" si="21">F32*$K32*N$10</f>
        <v>28224</v>
      </c>
      <c r="O32" s="493">
        <f t="shared" ref="O32" si="22">G32*$K32*O$10</f>
        <v>29635.200000000001</v>
      </c>
      <c r="P32" s="493">
        <f t="shared" ref="P32" si="23">H32*$K32*P$10</f>
        <v>31116.960000000003</v>
      </c>
      <c r="Q32" s="493">
        <f t="shared" ref="Q32:R32" si="24">I32*$K32*Q$10</f>
        <v>32672.808000000005</v>
      </c>
      <c r="R32" s="493">
        <f t="shared" si="24"/>
        <v>34306.448400000008</v>
      </c>
      <c r="S32" s="358">
        <f t="shared" si="17"/>
        <v>182835.41639999999</v>
      </c>
    </row>
    <row r="33" spans="1:19" ht="33" customHeight="1">
      <c r="B33" s="15"/>
      <c r="C33" s="46" t="s">
        <v>380</v>
      </c>
      <c r="D33" s="528"/>
      <c r="E33" s="46"/>
      <c r="F33" s="46"/>
      <c r="G33" s="46"/>
      <c r="H33" s="46"/>
      <c r="I33" s="46"/>
      <c r="J33" s="46"/>
      <c r="K33" s="361"/>
      <c r="L33" s="531"/>
      <c r="M33" s="361">
        <f>SUM(M31:M32)</f>
        <v>846720</v>
      </c>
      <c r="N33" s="361">
        <f t="shared" ref="N33:Q33" si="25">SUM(N31:N32)</f>
        <v>889056</v>
      </c>
      <c r="O33" s="361">
        <f t="shared" si="25"/>
        <v>933508.79999999993</v>
      </c>
      <c r="P33" s="361">
        <f t="shared" si="25"/>
        <v>980184.24000000011</v>
      </c>
      <c r="Q33" s="361">
        <f t="shared" si="25"/>
        <v>1029193.4520000002</v>
      </c>
      <c r="R33" s="361">
        <f t="shared" ref="R33" si="26">SUM(R31:R32)</f>
        <v>1080653.1246000004</v>
      </c>
      <c r="S33" s="361">
        <f>SUM(M33:R33)</f>
        <v>5759315.6166000012</v>
      </c>
    </row>
    <row r="34" spans="1:19" ht="33" customHeight="1">
      <c r="B34" s="15" t="s">
        <v>997</v>
      </c>
      <c r="C34" s="494" t="s">
        <v>998</v>
      </c>
      <c r="D34" s="494" t="s">
        <v>1000</v>
      </c>
      <c r="E34" s="37">
        <f>'Impl plan'!E27</f>
        <v>100</v>
      </c>
      <c r="F34" s="37">
        <f>'Impl plan'!F27</f>
        <v>100</v>
      </c>
      <c r="G34" s="37">
        <f>'Impl plan'!G27</f>
        <v>100</v>
      </c>
      <c r="H34" s="37">
        <f>'Impl plan'!H27</f>
        <v>100</v>
      </c>
      <c r="I34" s="37">
        <f>'Impl plan'!I27</f>
        <v>100</v>
      </c>
      <c r="J34" s="652">
        <f>'Impl plan'!J27</f>
        <v>100</v>
      </c>
      <c r="K34" s="358">
        <f>'Unit Cost'!G160</f>
        <v>650</v>
      </c>
      <c r="L34" s="517">
        <v>0.05</v>
      </c>
      <c r="M34" s="493">
        <f>E34*$K34*M$10</f>
        <v>65000</v>
      </c>
      <c r="N34" s="493">
        <f t="shared" ref="N34" si="27">F34*$K34*N$10</f>
        <v>68250</v>
      </c>
      <c r="O34" s="493">
        <f t="shared" ref="O34" si="28">G34*$K34*O$10</f>
        <v>71662.5</v>
      </c>
      <c r="P34" s="493">
        <f t="shared" ref="P34" si="29">H34*$K34*P$10</f>
        <v>75245.625000000015</v>
      </c>
      <c r="Q34" s="493">
        <f t="shared" ref="Q34:R34" si="30">I34*$K34*Q$10</f>
        <v>79007.906250000015</v>
      </c>
      <c r="R34" s="493">
        <f t="shared" si="30"/>
        <v>82958.301562500026</v>
      </c>
      <c r="S34" s="358">
        <f>SUM(M34:Q34)</f>
        <v>359166.03125</v>
      </c>
    </row>
    <row r="35" spans="1:19" s="563" customFormat="1" ht="27" customHeight="1">
      <c r="A35" s="40"/>
      <c r="B35" s="532"/>
      <c r="C35" s="45" t="s">
        <v>356</v>
      </c>
      <c r="D35" s="532"/>
      <c r="E35" s="45"/>
      <c r="F35" s="45"/>
      <c r="G35" s="45"/>
      <c r="H35" s="45"/>
      <c r="I35" s="45"/>
      <c r="J35" s="45"/>
      <c r="K35" s="362"/>
      <c r="L35" s="533"/>
      <c r="M35" s="362">
        <f>M23+M30+M33+M34</f>
        <v>27221602.157382593</v>
      </c>
      <c r="N35" s="362">
        <f t="shared" ref="N35:Q35" si="31">N23+N30+N33+N34</f>
        <v>29121716.444186285</v>
      </c>
      <c r="O35" s="362">
        <f t="shared" si="31"/>
        <v>31157264.008750256</v>
      </c>
      <c r="P35" s="362">
        <f t="shared" si="31"/>
        <v>33338048.582219016</v>
      </c>
      <c r="Q35" s="362">
        <f t="shared" si="31"/>
        <v>35674591.487338573</v>
      </c>
      <c r="R35" s="362">
        <f t="shared" ref="R35" si="32">R23+R30+R33+R34</f>
        <v>38178184.573414758</v>
      </c>
      <c r="S35" s="362">
        <f>SUM(M35:R35)</f>
        <v>194691407.25329149</v>
      </c>
    </row>
    <row r="36" spans="1:19" ht="25.5" customHeight="1">
      <c r="B36" s="823" t="s">
        <v>1131</v>
      </c>
      <c r="C36" s="823"/>
      <c r="D36" s="823"/>
      <c r="E36" s="823"/>
      <c r="F36" s="823"/>
      <c r="G36" s="823"/>
      <c r="H36" s="823"/>
      <c r="I36" s="823"/>
      <c r="J36" s="823"/>
      <c r="K36" s="823"/>
      <c r="L36" s="823"/>
      <c r="M36" s="823"/>
      <c r="N36" s="823"/>
      <c r="O36" s="823"/>
      <c r="P36" s="823"/>
      <c r="Q36" s="823"/>
      <c r="R36" s="823"/>
      <c r="S36" s="823"/>
    </row>
    <row r="37" spans="1:19" s="563" customFormat="1" ht="39" customHeight="1">
      <c r="A37" s="40"/>
      <c r="B37" s="15" t="s">
        <v>7</v>
      </c>
      <c r="C37" s="15" t="s">
        <v>228</v>
      </c>
      <c r="D37" s="534"/>
      <c r="E37" s="47"/>
      <c r="F37" s="47"/>
      <c r="G37" s="36"/>
      <c r="H37" s="47"/>
      <c r="I37" s="47"/>
      <c r="J37" s="47"/>
      <c r="K37" s="358"/>
      <c r="L37" s="517"/>
      <c r="M37" s="358">
        <f t="shared" ref="M37:R37" si="33">SUM(M38:M41)</f>
        <v>2718620.5625</v>
      </c>
      <c r="N37" s="358">
        <f t="shared" si="33"/>
        <v>2711296.875</v>
      </c>
      <c r="O37" s="358">
        <f t="shared" si="33"/>
        <v>2846861.71875</v>
      </c>
      <c r="P37" s="358">
        <f t="shared" si="33"/>
        <v>2989204.8046875</v>
      </c>
      <c r="Q37" s="358">
        <f t="shared" si="33"/>
        <v>3138665.044921875</v>
      </c>
      <c r="R37" s="358">
        <f t="shared" si="33"/>
        <v>3295598.2971679689</v>
      </c>
      <c r="S37" s="358">
        <f>SUM(M37:R37)</f>
        <v>17700247.303027343</v>
      </c>
    </row>
    <row r="38" spans="1:19" ht="45.75" customHeight="1">
      <c r="B38" s="23" t="s">
        <v>8</v>
      </c>
      <c r="C38" s="494" t="s">
        <v>9</v>
      </c>
      <c r="D38" s="26" t="s">
        <v>247</v>
      </c>
      <c r="E38" s="37">
        <f>'Impl plan'!E30</f>
        <v>1</v>
      </c>
      <c r="F38" s="37">
        <f>'Impl plan'!F30</f>
        <v>0</v>
      </c>
      <c r="G38" s="37">
        <f>'Impl plan'!G30</f>
        <v>0</v>
      </c>
      <c r="H38" s="37">
        <f>'Impl plan'!G30</f>
        <v>0</v>
      </c>
      <c r="I38" s="37">
        <f>'Impl plan'!H30</f>
        <v>0</v>
      </c>
      <c r="J38" s="652">
        <f>'Impl plan'!I30</f>
        <v>0</v>
      </c>
      <c r="K38" s="358">
        <f>'Unit Cost'!G174</f>
        <v>136433.0625</v>
      </c>
      <c r="L38" s="517">
        <v>0.05</v>
      </c>
      <c r="M38" s="493">
        <f t="shared" ref="M38:R38" si="34">E38*$K38*M$10</f>
        <v>136433.0625</v>
      </c>
      <c r="N38" s="493">
        <f t="shared" si="34"/>
        <v>0</v>
      </c>
      <c r="O38" s="493">
        <f t="shared" si="34"/>
        <v>0</v>
      </c>
      <c r="P38" s="493">
        <f t="shared" si="34"/>
        <v>0</v>
      </c>
      <c r="Q38" s="493">
        <f t="shared" si="34"/>
        <v>0</v>
      </c>
      <c r="R38" s="493">
        <f t="shared" si="34"/>
        <v>0</v>
      </c>
      <c r="S38" s="493">
        <f>SUM(M38:R38)</f>
        <v>136433.0625</v>
      </c>
    </row>
    <row r="39" spans="1:19" ht="33" customHeight="1">
      <c r="B39" s="23" t="s">
        <v>11</v>
      </c>
      <c r="C39" s="494" t="s">
        <v>275</v>
      </c>
      <c r="D39" s="26" t="s">
        <v>12</v>
      </c>
      <c r="E39" s="480">
        <f>'Impl plan'!E31</f>
        <v>200000</v>
      </c>
      <c r="F39" s="480">
        <f>'Impl plan'!F31</f>
        <v>200000</v>
      </c>
      <c r="G39" s="480">
        <f>'Impl plan'!G31</f>
        <v>200000</v>
      </c>
      <c r="H39" s="480">
        <f>'Impl plan'!H31</f>
        <v>200000</v>
      </c>
      <c r="I39" s="480">
        <f>'Impl plan'!I31</f>
        <v>200000</v>
      </c>
      <c r="J39" s="480">
        <f>'Impl plan'!J31</f>
        <v>200000</v>
      </c>
      <c r="K39" s="535">
        <f>'Unit Cost'!G185</f>
        <v>0.859375</v>
      </c>
      <c r="L39" s="517">
        <v>0.05</v>
      </c>
      <c r="M39" s="493">
        <f t="shared" ref="M39:M48" si="35">E39*$K39*M$10</f>
        <v>171875</v>
      </c>
      <c r="N39" s="493">
        <f t="shared" ref="N39:R41" si="36">F39*$K39*N$10</f>
        <v>180468.75</v>
      </c>
      <c r="O39" s="493">
        <f t="shared" si="36"/>
        <v>189492.1875</v>
      </c>
      <c r="P39" s="493">
        <f t="shared" si="36"/>
        <v>198966.79687500003</v>
      </c>
      <c r="Q39" s="493">
        <f t="shared" si="36"/>
        <v>208915.13671875003</v>
      </c>
      <c r="R39" s="493">
        <f t="shared" si="36"/>
        <v>219360.89355468756</v>
      </c>
      <c r="S39" s="493">
        <f t="shared" ref="S39:S48" si="37">SUM(M39:R39)</f>
        <v>1169078.7646484375</v>
      </c>
    </row>
    <row r="40" spans="1:19" ht="27.75" customHeight="1">
      <c r="B40" s="23" t="s">
        <v>13</v>
      </c>
      <c r="C40" s="494" t="s">
        <v>14</v>
      </c>
      <c r="D40" s="494" t="s">
        <v>244</v>
      </c>
      <c r="E40" s="480">
        <f>'Impl plan'!E32</f>
        <v>200000</v>
      </c>
      <c r="F40" s="480">
        <f>'Impl plan'!F32</f>
        <v>200000</v>
      </c>
      <c r="G40" s="480">
        <f>'Impl plan'!G32</f>
        <v>200000</v>
      </c>
      <c r="H40" s="480">
        <f>'Impl plan'!H32</f>
        <v>200000</v>
      </c>
      <c r="I40" s="480">
        <f>'Impl plan'!I32</f>
        <v>200000</v>
      </c>
      <c r="J40" s="480">
        <f>'Impl plan'!J32</f>
        <v>200000</v>
      </c>
      <c r="K40" s="358">
        <f>'Unit Cost'!G199</f>
        <v>8.3015624999999993</v>
      </c>
      <c r="L40" s="517">
        <v>0.05</v>
      </c>
      <c r="M40" s="493">
        <f t="shared" si="35"/>
        <v>1660312.4999999998</v>
      </c>
      <c r="N40" s="493">
        <f t="shared" si="36"/>
        <v>1743328.1249999998</v>
      </c>
      <c r="O40" s="493">
        <f t="shared" si="36"/>
        <v>1830494.5312499998</v>
      </c>
      <c r="P40" s="493">
        <f t="shared" si="36"/>
        <v>1922019.2578125</v>
      </c>
      <c r="Q40" s="493">
        <f t="shared" si="36"/>
        <v>2018120.220703125</v>
      </c>
      <c r="R40" s="493">
        <f t="shared" si="36"/>
        <v>2119026.2317382814</v>
      </c>
      <c r="S40" s="493">
        <f t="shared" si="37"/>
        <v>11293300.866503906</v>
      </c>
    </row>
    <row r="41" spans="1:19" ht="31.5" customHeight="1">
      <c r="B41" s="23" t="s">
        <v>15</v>
      </c>
      <c r="C41" s="494" t="s">
        <v>276</v>
      </c>
      <c r="D41" s="494" t="s">
        <v>244</v>
      </c>
      <c r="E41" s="480">
        <f>'Impl plan'!E33</f>
        <v>30000</v>
      </c>
      <c r="F41" s="480">
        <f>'Impl plan'!F33</f>
        <v>30000</v>
      </c>
      <c r="G41" s="480">
        <f>'Impl plan'!G33</f>
        <v>30000</v>
      </c>
      <c r="H41" s="480">
        <f>'Impl plan'!H33</f>
        <v>30000</v>
      </c>
      <c r="I41" s="480">
        <f>'Impl plan'!I33</f>
        <v>30000</v>
      </c>
      <c r="J41" s="480">
        <f>'Impl plan'!J33</f>
        <v>30000</v>
      </c>
      <c r="K41" s="518">
        <f>'Unit Cost'!G218</f>
        <v>25</v>
      </c>
      <c r="L41" s="519">
        <v>0.05</v>
      </c>
      <c r="M41" s="493">
        <f>E41*$K41*M$10</f>
        <v>750000</v>
      </c>
      <c r="N41" s="493">
        <f t="shared" si="36"/>
        <v>787500</v>
      </c>
      <c r="O41" s="493">
        <f t="shared" si="36"/>
        <v>826875</v>
      </c>
      <c r="P41" s="493">
        <f t="shared" si="36"/>
        <v>868218.75000000012</v>
      </c>
      <c r="Q41" s="493">
        <f t="shared" si="36"/>
        <v>911629.68750000012</v>
      </c>
      <c r="R41" s="493">
        <f t="shared" si="36"/>
        <v>957211.17187500023</v>
      </c>
      <c r="S41" s="493">
        <f t="shared" si="37"/>
        <v>5101434.609375</v>
      </c>
    </row>
    <row r="42" spans="1:19" s="563" customFormat="1" ht="46.5" customHeight="1">
      <c r="A42" s="40"/>
      <c r="B42" s="15" t="s">
        <v>16</v>
      </c>
      <c r="C42" s="15" t="s">
        <v>23</v>
      </c>
      <c r="D42" s="39"/>
      <c r="E42" s="39"/>
      <c r="F42" s="39"/>
      <c r="G42" s="36"/>
      <c r="H42" s="39"/>
      <c r="I42" s="39"/>
      <c r="J42" s="651"/>
      <c r="K42" s="358"/>
      <c r="L42" s="517"/>
      <c r="M42" s="358">
        <f t="shared" ref="M42:R42" si="38">SUM(M43:M48)</f>
        <v>908229.6875</v>
      </c>
      <c r="N42" s="358">
        <f t="shared" si="38"/>
        <v>500810.625</v>
      </c>
      <c r="O42" s="358">
        <f t="shared" si="38"/>
        <v>525851.15625</v>
      </c>
      <c r="P42" s="358">
        <f t="shared" si="38"/>
        <v>552143.71406250005</v>
      </c>
      <c r="Q42" s="358">
        <f t="shared" si="38"/>
        <v>579750.89976562513</v>
      </c>
      <c r="R42" s="358">
        <f t="shared" si="38"/>
        <v>608738.44475390646</v>
      </c>
      <c r="S42" s="358">
        <f t="shared" si="37"/>
        <v>3675524.5273320312</v>
      </c>
    </row>
    <row r="43" spans="1:19" ht="30" customHeight="1">
      <c r="B43" s="23" t="s">
        <v>237</v>
      </c>
      <c r="C43" s="494" t="s">
        <v>311</v>
      </c>
      <c r="D43" s="37" t="s">
        <v>245</v>
      </c>
      <c r="E43" s="37">
        <f>'Impl plan'!E35</f>
        <v>1</v>
      </c>
      <c r="F43" s="568">
        <f>'Impl plan'!F35</f>
        <v>0</v>
      </c>
      <c r="G43" s="568">
        <f>'Impl plan'!G35</f>
        <v>0</v>
      </c>
      <c r="H43" s="568">
        <f>'Impl plan'!H35</f>
        <v>0</v>
      </c>
      <c r="I43" s="568">
        <f>'Impl plan'!I35</f>
        <v>0</v>
      </c>
      <c r="J43" s="652">
        <f>'Impl plan'!J35</f>
        <v>0</v>
      </c>
      <c r="K43" s="518">
        <f>'Unit Cost'!G231</f>
        <v>321150</v>
      </c>
      <c r="L43" s="519">
        <v>0.05</v>
      </c>
      <c r="M43" s="493">
        <f>E43*$K43*M$10</f>
        <v>321150</v>
      </c>
      <c r="N43" s="493">
        <f t="shared" ref="N43:N48" si="39">F43*$K43*N$10</f>
        <v>0</v>
      </c>
      <c r="O43" s="493">
        <f t="shared" ref="O43:O48" si="40">G43*$K43*O$10</f>
        <v>0</v>
      </c>
      <c r="P43" s="493">
        <f t="shared" ref="P43:P48" si="41">H43*$K43*P$10</f>
        <v>0</v>
      </c>
      <c r="Q43" s="493">
        <f t="shared" ref="Q43:R48" si="42">I43*$K43*Q$10</f>
        <v>0</v>
      </c>
      <c r="R43" s="493">
        <f t="shared" si="42"/>
        <v>0</v>
      </c>
      <c r="S43" s="493">
        <f t="shared" si="37"/>
        <v>321150</v>
      </c>
    </row>
    <row r="44" spans="1:19" ht="31.5" customHeight="1">
      <c r="B44" s="23" t="s">
        <v>238</v>
      </c>
      <c r="C44" s="494" t="s">
        <v>25</v>
      </c>
      <c r="D44" s="37" t="s">
        <v>245</v>
      </c>
      <c r="E44" s="37">
        <f>'Impl plan'!E36</f>
        <v>1</v>
      </c>
      <c r="F44" s="568">
        <f>'Impl plan'!F36</f>
        <v>0</v>
      </c>
      <c r="G44" s="568">
        <f>'Impl plan'!G36</f>
        <v>0</v>
      </c>
      <c r="H44" s="568">
        <f>'Impl plan'!H36</f>
        <v>0</v>
      </c>
      <c r="I44" s="568">
        <f>'Impl plan'!I36</f>
        <v>0</v>
      </c>
      <c r="J44" s="652">
        <f>'Impl plan'!J36</f>
        <v>0</v>
      </c>
      <c r="K44" s="518">
        <f>'Unit Cost'!G243</f>
        <v>0</v>
      </c>
      <c r="L44" s="519">
        <v>0.05</v>
      </c>
      <c r="M44" s="493">
        <f t="shared" si="35"/>
        <v>0</v>
      </c>
      <c r="N44" s="493">
        <f t="shared" si="39"/>
        <v>0</v>
      </c>
      <c r="O44" s="493">
        <f t="shared" si="40"/>
        <v>0</v>
      </c>
      <c r="P44" s="493">
        <f t="shared" si="41"/>
        <v>0</v>
      </c>
      <c r="Q44" s="493">
        <f t="shared" si="42"/>
        <v>0</v>
      </c>
      <c r="R44" s="493">
        <f t="shared" si="42"/>
        <v>0</v>
      </c>
      <c r="S44" s="493">
        <f t="shared" si="37"/>
        <v>0</v>
      </c>
    </row>
    <row r="45" spans="1:19" ht="27" customHeight="1">
      <c r="B45" s="23" t="s">
        <v>239</v>
      </c>
      <c r="C45" s="494" t="s">
        <v>340</v>
      </c>
      <c r="D45" s="37" t="s">
        <v>246</v>
      </c>
      <c r="E45" s="37">
        <f>'Impl plan'!E37</f>
        <v>1</v>
      </c>
      <c r="F45" s="568">
        <f>'Impl plan'!F37</f>
        <v>0</v>
      </c>
      <c r="G45" s="568">
        <f>'Impl plan'!G37</f>
        <v>0</v>
      </c>
      <c r="H45" s="568">
        <f>'Impl plan'!H37</f>
        <v>0</v>
      </c>
      <c r="I45" s="568">
        <f>'Impl plan'!I37</f>
        <v>0</v>
      </c>
      <c r="J45" s="652">
        <f>'Impl plan'!J37</f>
        <v>0</v>
      </c>
      <c r="K45" s="518">
        <f>'Unit Cost'!G249</f>
        <v>100000</v>
      </c>
      <c r="L45" s="519">
        <v>0.05</v>
      </c>
      <c r="M45" s="493">
        <f t="shared" si="35"/>
        <v>100000</v>
      </c>
      <c r="N45" s="493">
        <f t="shared" si="39"/>
        <v>0</v>
      </c>
      <c r="O45" s="493">
        <f t="shared" si="40"/>
        <v>0</v>
      </c>
      <c r="P45" s="493">
        <f t="shared" si="41"/>
        <v>0</v>
      </c>
      <c r="Q45" s="493">
        <f t="shared" si="42"/>
        <v>0</v>
      </c>
      <c r="R45" s="493">
        <f t="shared" si="42"/>
        <v>0</v>
      </c>
      <c r="S45" s="493">
        <f t="shared" si="37"/>
        <v>100000</v>
      </c>
    </row>
    <row r="46" spans="1:19" ht="27" customHeight="1">
      <c r="B46" s="23" t="s">
        <v>943</v>
      </c>
      <c r="C46" s="494" t="s">
        <v>958</v>
      </c>
      <c r="D46" s="37" t="str">
        <f>'Impl plan'!D38</f>
        <v xml:space="preserve">No. of materials </v>
      </c>
      <c r="E46" s="37">
        <f>'Impl plan'!E38</f>
        <v>1</v>
      </c>
      <c r="F46" s="568">
        <f>'Impl plan'!F38</f>
        <v>0</v>
      </c>
      <c r="G46" s="568">
        <f>'Impl plan'!G38</f>
        <v>0</v>
      </c>
      <c r="H46" s="568">
        <f>'Impl plan'!H38</f>
        <v>0</v>
      </c>
      <c r="I46" s="568">
        <f>'Impl plan'!I38</f>
        <v>0</v>
      </c>
      <c r="J46" s="652">
        <f>'Impl plan'!J38</f>
        <v>0</v>
      </c>
      <c r="K46" s="518">
        <f>'Unit Cost'!G261</f>
        <v>10117.1875</v>
      </c>
      <c r="L46" s="519">
        <v>0.05</v>
      </c>
      <c r="M46" s="493">
        <f t="shared" si="35"/>
        <v>10117.1875</v>
      </c>
      <c r="N46" s="493">
        <f t="shared" si="39"/>
        <v>0</v>
      </c>
      <c r="O46" s="493">
        <f t="shared" si="40"/>
        <v>0</v>
      </c>
      <c r="P46" s="493">
        <f t="shared" si="41"/>
        <v>0</v>
      </c>
      <c r="Q46" s="493">
        <f t="shared" si="42"/>
        <v>0</v>
      </c>
      <c r="R46" s="493">
        <f t="shared" si="42"/>
        <v>0</v>
      </c>
      <c r="S46" s="493">
        <f t="shared" si="37"/>
        <v>10117.1875</v>
      </c>
    </row>
    <row r="47" spans="1:19" s="154" customFormat="1" ht="27" customHeight="1">
      <c r="A47" s="155"/>
      <c r="B47" s="23" t="s">
        <v>944</v>
      </c>
      <c r="C47" s="494" t="s">
        <v>946</v>
      </c>
      <c r="D47" s="37" t="s">
        <v>952</v>
      </c>
      <c r="E47" s="37">
        <f>'Impl plan'!E39</f>
        <v>23</v>
      </c>
      <c r="F47" s="568">
        <f>'Impl plan'!F39</f>
        <v>23</v>
      </c>
      <c r="G47" s="568">
        <f>'Impl plan'!G39</f>
        <v>23</v>
      </c>
      <c r="H47" s="568">
        <f>'Impl plan'!H39</f>
        <v>23</v>
      </c>
      <c r="I47" s="568">
        <f>'Impl plan'!I39</f>
        <v>23</v>
      </c>
      <c r="J47" s="652">
        <f>'Impl plan'!J39</f>
        <v>23</v>
      </c>
      <c r="K47" s="272">
        <f>'Unit Cost'!G290</f>
        <v>9187.5</v>
      </c>
      <c r="L47" s="536">
        <v>0.05</v>
      </c>
      <c r="M47" s="493">
        <f t="shared" si="35"/>
        <v>211312.5</v>
      </c>
      <c r="N47" s="493">
        <f>F47*$K47*N$10</f>
        <v>221878.125</v>
      </c>
      <c r="O47" s="493">
        <f t="shared" si="40"/>
        <v>232972.03125</v>
      </c>
      <c r="P47" s="493">
        <f t="shared" si="41"/>
        <v>244620.63281250003</v>
      </c>
      <c r="Q47" s="493">
        <f t="shared" si="42"/>
        <v>256851.66445312503</v>
      </c>
      <c r="R47" s="493">
        <f t="shared" si="42"/>
        <v>269694.24767578131</v>
      </c>
      <c r="S47" s="493">
        <f t="shared" si="37"/>
        <v>1437329.2011914065</v>
      </c>
    </row>
    <row r="48" spans="1:19" s="154" customFormat="1" ht="27" customHeight="1">
      <c r="A48" s="155"/>
      <c r="B48" s="23" t="s">
        <v>945</v>
      </c>
      <c r="C48" s="494" t="s">
        <v>947</v>
      </c>
      <c r="D48" s="37" t="s">
        <v>952</v>
      </c>
      <c r="E48" s="37">
        <f>'Impl plan'!E40</f>
        <v>23</v>
      </c>
      <c r="F48" s="568">
        <f>'Impl plan'!F40</f>
        <v>23</v>
      </c>
      <c r="G48" s="568">
        <f>'Impl plan'!G40</f>
        <v>23</v>
      </c>
      <c r="H48" s="568">
        <f>'Impl plan'!H40</f>
        <v>23</v>
      </c>
      <c r="I48" s="568">
        <f>'Impl plan'!I40</f>
        <v>23</v>
      </c>
      <c r="J48" s="652">
        <f>'Impl plan'!J40</f>
        <v>23</v>
      </c>
      <c r="K48" s="272">
        <f>'Unit Cost'!G300</f>
        <v>11550</v>
      </c>
      <c r="L48" s="536">
        <v>0.05</v>
      </c>
      <c r="M48" s="493">
        <f t="shared" si="35"/>
        <v>265650</v>
      </c>
      <c r="N48" s="493">
        <f t="shared" si="39"/>
        <v>278932.5</v>
      </c>
      <c r="O48" s="493">
        <f t="shared" si="40"/>
        <v>292879.125</v>
      </c>
      <c r="P48" s="493">
        <f t="shared" si="41"/>
        <v>307523.08125000005</v>
      </c>
      <c r="Q48" s="493">
        <f t="shared" si="42"/>
        <v>322899.23531250004</v>
      </c>
      <c r="R48" s="493">
        <f t="shared" si="42"/>
        <v>339044.19707812509</v>
      </c>
      <c r="S48" s="493">
        <f t="shared" si="37"/>
        <v>1806928.1386406252</v>
      </c>
    </row>
    <row r="49" spans="1:19" s="563" customFormat="1" ht="39" customHeight="1">
      <c r="A49" s="40"/>
      <c r="B49" s="15" t="s">
        <v>333</v>
      </c>
      <c r="C49" s="15" t="s">
        <v>336</v>
      </c>
      <c r="D49" s="15" t="s">
        <v>244</v>
      </c>
      <c r="E49" s="480">
        <f>'Impl plan'!E41</f>
        <v>10000</v>
      </c>
      <c r="F49" s="480">
        <f>'Impl plan'!F41</f>
        <v>10000</v>
      </c>
      <c r="G49" s="480">
        <f>'Impl plan'!G41</f>
        <v>10000</v>
      </c>
      <c r="H49" s="480">
        <f>'Impl plan'!H41</f>
        <v>10000</v>
      </c>
      <c r="I49" s="480">
        <f>'Impl plan'!I41</f>
        <v>10000</v>
      </c>
      <c r="J49" s="480">
        <f>'Impl plan'!J41</f>
        <v>10000</v>
      </c>
      <c r="K49" s="518">
        <f>'Unit Cost'!G314</f>
        <v>32.5</v>
      </c>
      <c r="L49" s="570">
        <v>7.4999999999999997E-2</v>
      </c>
      <c r="M49" s="493">
        <f t="shared" ref="M49:R50" si="43">E49*$K49*M$9</f>
        <v>325000</v>
      </c>
      <c r="N49" s="493">
        <f t="shared" si="43"/>
        <v>349375</v>
      </c>
      <c r="O49" s="493">
        <f t="shared" si="43"/>
        <v>375578.12499999994</v>
      </c>
      <c r="P49" s="493">
        <f t="shared" si="43"/>
        <v>403746.48437499994</v>
      </c>
      <c r="Q49" s="493">
        <f t="shared" si="43"/>
        <v>434027.47070312494</v>
      </c>
      <c r="R49" s="493">
        <f t="shared" si="43"/>
        <v>466579.53100585932</v>
      </c>
      <c r="S49" s="358">
        <f>SUM(M49:R49)</f>
        <v>2354306.6110839844</v>
      </c>
    </row>
    <row r="50" spans="1:19" s="563" customFormat="1" ht="54.75" customHeight="1">
      <c r="A50" s="40"/>
      <c r="B50" s="15" t="s">
        <v>17</v>
      </c>
      <c r="C50" s="15" t="s">
        <v>229</v>
      </c>
      <c r="D50" s="15" t="s">
        <v>244</v>
      </c>
      <c r="E50" s="480">
        <f>'Impl plan'!E42</f>
        <v>30000</v>
      </c>
      <c r="F50" s="480">
        <f>'Impl plan'!F42</f>
        <v>40000</v>
      </c>
      <c r="G50" s="480">
        <f>'Impl plan'!G42</f>
        <v>50000</v>
      </c>
      <c r="H50" s="480">
        <f>'Impl plan'!H42</f>
        <v>50000</v>
      </c>
      <c r="I50" s="480">
        <f>'Impl plan'!I42</f>
        <v>50000</v>
      </c>
      <c r="J50" s="480">
        <f>'Impl plan'!J42</f>
        <v>50000</v>
      </c>
      <c r="K50" s="358">
        <f>'Unit Cost'!G327</f>
        <v>20</v>
      </c>
      <c r="L50" s="570">
        <v>7.4999999999999997E-2</v>
      </c>
      <c r="M50" s="493">
        <f t="shared" si="43"/>
        <v>600000</v>
      </c>
      <c r="N50" s="493">
        <f t="shared" si="43"/>
        <v>860000</v>
      </c>
      <c r="O50" s="493">
        <f t="shared" si="43"/>
        <v>1155625</v>
      </c>
      <c r="P50" s="493">
        <f t="shared" si="43"/>
        <v>1242296.8749999998</v>
      </c>
      <c r="Q50" s="493">
        <f t="shared" si="43"/>
        <v>1335469.140625</v>
      </c>
      <c r="R50" s="493">
        <f t="shared" si="43"/>
        <v>1435629.326171875</v>
      </c>
      <c r="S50" s="358">
        <f t="shared" ref="S50:S54" si="44">SUM(M50:R50)</f>
        <v>6629020.341796875</v>
      </c>
    </row>
    <row r="51" spans="1:19" s="563" customFormat="1" ht="30" customHeight="1">
      <c r="A51" s="40"/>
      <c r="B51" s="15" t="s">
        <v>235</v>
      </c>
      <c r="C51" s="15" t="s">
        <v>1071</v>
      </c>
      <c r="D51" s="15" t="s">
        <v>244</v>
      </c>
      <c r="E51" s="480">
        <f>'Impl plan'!E43</f>
        <v>12000</v>
      </c>
      <c r="F51" s="480">
        <f>'Impl plan'!F43</f>
        <v>12000</v>
      </c>
      <c r="G51" s="480">
        <f>'Impl plan'!G43</f>
        <v>12000</v>
      </c>
      <c r="H51" s="480">
        <f>'Impl plan'!H43</f>
        <v>12000</v>
      </c>
      <c r="I51" s="480">
        <f>'Impl plan'!I43</f>
        <v>12000</v>
      </c>
      <c r="J51" s="480">
        <f>'Impl plan'!J43</f>
        <v>12000</v>
      </c>
      <c r="K51" s="358">
        <f>'Unit Cost'!G346</f>
        <v>22.841000000000001</v>
      </c>
      <c r="L51" s="519">
        <v>0.05</v>
      </c>
      <c r="M51" s="493">
        <f t="shared" ref="M51:R51" si="45">E51*$K51*M$10</f>
        <v>274092</v>
      </c>
      <c r="N51" s="493">
        <f t="shared" si="45"/>
        <v>287796.60000000003</v>
      </c>
      <c r="O51" s="493">
        <f t="shared" si="45"/>
        <v>302186.43</v>
      </c>
      <c r="P51" s="493">
        <f t="shared" si="45"/>
        <v>317295.75150000001</v>
      </c>
      <c r="Q51" s="493">
        <f t="shared" si="45"/>
        <v>333160.53907500004</v>
      </c>
      <c r="R51" s="493">
        <f t="shared" si="45"/>
        <v>349818.56602875009</v>
      </c>
      <c r="S51" s="358">
        <f t="shared" si="44"/>
        <v>1864349.8866037501</v>
      </c>
    </row>
    <row r="52" spans="1:19" s="563" customFormat="1" ht="42.75" customHeight="1">
      <c r="A52" s="40"/>
      <c r="B52" s="15" t="s">
        <v>351</v>
      </c>
      <c r="C52" s="15" t="s">
        <v>287</v>
      </c>
      <c r="D52" s="15"/>
      <c r="E52" s="39"/>
      <c r="F52" s="39"/>
      <c r="G52" s="36"/>
      <c r="H52" s="39"/>
      <c r="I52" s="39"/>
      <c r="J52" s="651"/>
      <c r="K52" s="358"/>
      <c r="L52" s="517"/>
      <c r="M52" s="358">
        <f t="shared" ref="M52:R52" si="46">SUM(M53:M54)</f>
        <v>300000</v>
      </c>
      <c r="N52" s="358">
        <f t="shared" si="46"/>
        <v>315000</v>
      </c>
      <c r="O52" s="358">
        <f t="shared" si="46"/>
        <v>330750</v>
      </c>
      <c r="P52" s="358">
        <f t="shared" si="46"/>
        <v>347287.50000000006</v>
      </c>
      <c r="Q52" s="358">
        <f t="shared" si="46"/>
        <v>364651.87500000012</v>
      </c>
      <c r="R52" s="358">
        <f t="shared" si="46"/>
        <v>382884.46875000012</v>
      </c>
      <c r="S52" s="358">
        <f t="shared" si="44"/>
        <v>2040573.84375</v>
      </c>
    </row>
    <row r="53" spans="1:19" ht="27.75" customHeight="1">
      <c r="B53" s="23" t="s">
        <v>334</v>
      </c>
      <c r="C53" s="494" t="s">
        <v>308</v>
      </c>
      <c r="D53" s="494" t="s">
        <v>244</v>
      </c>
      <c r="E53" s="480">
        <f>'Impl plan'!E45</f>
        <v>2000</v>
      </c>
      <c r="F53" s="480">
        <f>'Impl plan'!F45</f>
        <v>2000</v>
      </c>
      <c r="G53" s="480">
        <f>'Impl plan'!G45</f>
        <v>2000</v>
      </c>
      <c r="H53" s="480">
        <f>'Impl plan'!H45</f>
        <v>2000</v>
      </c>
      <c r="I53" s="480">
        <f>'Impl plan'!I45</f>
        <v>2000</v>
      </c>
      <c r="J53" s="480">
        <f>'Impl plan'!J45</f>
        <v>2000</v>
      </c>
      <c r="K53" s="518">
        <f>'Unit Cost'!G364</f>
        <v>100</v>
      </c>
      <c r="L53" s="519">
        <v>0.05</v>
      </c>
      <c r="M53" s="493">
        <f>E53*$K53*M$10</f>
        <v>200000</v>
      </c>
      <c r="N53" s="493">
        <f t="shared" ref="N53:N54" si="47">F53*$K53*N$10</f>
        <v>210000</v>
      </c>
      <c r="O53" s="493">
        <f t="shared" ref="O53:O54" si="48">G53*$K53*O$10</f>
        <v>220500</v>
      </c>
      <c r="P53" s="493">
        <f t="shared" ref="P53:P54" si="49">H53*$K53*P$10</f>
        <v>231525.00000000003</v>
      </c>
      <c r="Q53" s="493">
        <f t="shared" ref="Q53:R54" si="50">I53*$K53*Q$10</f>
        <v>243101.25000000006</v>
      </c>
      <c r="R53" s="493">
        <f t="shared" si="50"/>
        <v>255256.31250000006</v>
      </c>
      <c r="S53" s="358">
        <f t="shared" si="44"/>
        <v>1360382.5625</v>
      </c>
    </row>
    <row r="54" spans="1:19" ht="37.5" customHeight="1">
      <c r="B54" s="23" t="s">
        <v>335</v>
      </c>
      <c r="C54" s="494" t="s">
        <v>309</v>
      </c>
      <c r="D54" s="494" t="s">
        <v>244</v>
      </c>
      <c r="E54" s="480">
        <f>'Impl plan'!E46</f>
        <v>1000</v>
      </c>
      <c r="F54" s="480">
        <f>'Impl plan'!F46</f>
        <v>1000</v>
      </c>
      <c r="G54" s="480">
        <f>'Impl plan'!G46</f>
        <v>1000</v>
      </c>
      <c r="H54" s="480">
        <f>'Impl plan'!H46</f>
        <v>1000</v>
      </c>
      <c r="I54" s="480">
        <f>'Impl plan'!I46</f>
        <v>1000</v>
      </c>
      <c r="J54" s="480">
        <f>'Impl plan'!J46</f>
        <v>1000</v>
      </c>
      <c r="K54" s="518">
        <f>'Unit Cost'!G364</f>
        <v>100</v>
      </c>
      <c r="L54" s="519">
        <v>0.05</v>
      </c>
      <c r="M54" s="493">
        <f>E54*$K54*M$10</f>
        <v>100000</v>
      </c>
      <c r="N54" s="493">
        <f t="shared" si="47"/>
        <v>105000</v>
      </c>
      <c r="O54" s="493">
        <f t="shared" si="48"/>
        <v>110250</v>
      </c>
      <c r="P54" s="493">
        <f t="shared" si="49"/>
        <v>115762.50000000001</v>
      </c>
      <c r="Q54" s="493">
        <f t="shared" si="50"/>
        <v>121550.62500000003</v>
      </c>
      <c r="R54" s="493">
        <f t="shared" si="50"/>
        <v>127628.15625000003</v>
      </c>
      <c r="S54" s="358">
        <f t="shared" si="44"/>
        <v>680191.28125</v>
      </c>
    </row>
    <row r="55" spans="1:19" s="563" customFormat="1" ht="37.5" customHeight="1">
      <c r="A55" s="40"/>
      <c r="B55" s="537"/>
      <c r="C55" s="532" t="s">
        <v>355</v>
      </c>
      <c r="D55" s="532"/>
      <c r="E55" s="45"/>
      <c r="F55" s="45"/>
      <c r="G55" s="45"/>
      <c r="H55" s="45"/>
      <c r="I55" s="45"/>
      <c r="J55" s="45"/>
      <c r="K55" s="362"/>
      <c r="L55" s="533"/>
      <c r="M55" s="362">
        <f>M37+M42+M49+M50+M51+M52</f>
        <v>5125942.25</v>
      </c>
      <c r="N55" s="362">
        <f t="shared" ref="N55:Q55" si="51">N37+N42+N49+N50+N51+N52</f>
        <v>5024279.0999999996</v>
      </c>
      <c r="O55" s="362">
        <f t="shared" si="51"/>
        <v>5536852.4299999997</v>
      </c>
      <c r="P55" s="362">
        <f t="shared" si="51"/>
        <v>5851975.1296250001</v>
      </c>
      <c r="Q55" s="362">
        <f t="shared" si="51"/>
        <v>6185724.9700906258</v>
      </c>
      <c r="R55" s="362">
        <f t="shared" ref="R55" si="52">R37+R42+R49+R50+R51+R52</f>
        <v>6539248.6338783605</v>
      </c>
      <c r="S55" s="362">
        <f>SUM(M55:R55)</f>
        <v>34264022.513593987</v>
      </c>
    </row>
    <row r="56" spans="1:19" ht="26.25" customHeight="1">
      <c r="B56" s="817" t="s">
        <v>1136</v>
      </c>
      <c r="C56" s="817"/>
      <c r="D56" s="817"/>
      <c r="E56" s="817"/>
      <c r="F56" s="817"/>
      <c r="G56" s="817"/>
      <c r="H56" s="817"/>
      <c r="I56" s="817"/>
      <c r="J56" s="817"/>
      <c r="K56" s="817"/>
      <c r="L56" s="817"/>
      <c r="M56" s="817"/>
      <c r="N56" s="817"/>
      <c r="O56" s="817"/>
      <c r="P56" s="817"/>
      <c r="Q56" s="817"/>
      <c r="R56" s="817"/>
      <c r="S56" s="817"/>
    </row>
    <row r="57" spans="1:19" s="9" customFormat="1" ht="37.5" customHeight="1">
      <c r="B57" s="15" t="s">
        <v>19</v>
      </c>
      <c r="C57" s="494" t="s">
        <v>286</v>
      </c>
      <c r="D57" s="37" t="s">
        <v>310</v>
      </c>
      <c r="E57" s="37">
        <f>'Impl plan'!E48</f>
        <v>10</v>
      </c>
      <c r="F57" s="568">
        <f>'Impl plan'!F48</f>
        <v>10</v>
      </c>
      <c r="G57" s="568">
        <f>'Impl plan'!G48</f>
        <v>10</v>
      </c>
      <c r="H57" s="568">
        <f>'Impl plan'!H48</f>
        <v>10</v>
      </c>
      <c r="I57" s="568">
        <f>'Impl plan'!I48</f>
        <v>10</v>
      </c>
      <c r="J57" s="652">
        <f>'Impl plan'!J48</f>
        <v>10</v>
      </c>
      <c r="K57" s="538">
        <f>'Unit Cost'!G383</f>
        <v>94296.004687499997</v>
      </c>
      <c r="L57" s="539">
        <v>0.05</v>
      </c>
      <c r="M57" s="493">
        <f t="shared" ref="M57:R57" si="53">E57*$K57*M$10</f>
        <v>942960.046875</v>
      </c>
      <c r="N57" s="493">
        <f t="shared" si="53"/>
        <v>990108.04921875009</v>
      </c>
      <c r="O57" s="493">
        <f t="shared" si="53"/>
        <v>1039613.4516796875</v>
      </c>
      <c r="P57" s="493">
        <f t="shared" si="53"/>
        <v>1091594.1242636719</v>
      </c>
      <c r="Q57" s="493">
        <f t="shared" si="53"/>
        <v>1146173.8304768556</v>
      </c>
      <c r="R57" s="493">
        <f t="shared" si="53"/>
        <v>1203482.5220006986</v>
      </c>
      <c r="S57" s="538">
        <f>SUM(M57:R57)</f>
        <v>6413932.024514664</v>
      </c>
    </row>
    <row r="58" spans="1:19" ht="57.75" customHeight="1">
      <c r="B58" s="15" t="s">
        <v>20</v>
      </c>
      <c r="C58" s="494" t="s">
        <v>219</v>
      </c>
      <c r="D58" s="37" t="s">
        <v>22</v>
      </c>
      <c r="E58" s="37">
        <f>'Impl plan'!E49</f>
        <v>1</v>
      </c>
      <c r="F58" s="568">
        <f>'Impl plan'!F49</f>
        <v>1</v>
      </c>
      <c r="G58" s="568">
        <f>'Impl plan'!G49</f>
        <v>1</v>
      </c>
      <c r="H58" s="568">
        <f>'Impl plan'!H49</f>
        <v>1</v>
      </c>
      <c r="I58" s="568">
        <f>'Impl plan'!I49</f>
        <v>1</v>
      </c>
      <c r="J58" s="652">
        <f>'Impl plan'!J49</f>
        <v>1</v>
      </c>
      <c r="K58" s="358">
        <f>'Unit Cost'!G396</f>
        <v>0</v>
      </c>
      <c r="L58" s="517">
        <v>0.05</v>
      </c>
      <c r="M58" s="493">
        <f t="shared" ref="M58:M61" si="54">E58*$K58*M$10</f>
        <v>0</v>
      </c>
      <c r="N58" s="493">
        <f t="shared" ref="N58:N61" si="55">F58*$K58*N$10</f>
        <v>0</v>
      </c>
      <c r="O58" s="493">
        <f t="shared" ref="O58:O61" si="56">G58*$K58*O$10</f>
        <v>0</v>
      </c>
      <c r="P58" s="493">
        <f t="shared" ref="P58:P61" si="57">H58*$K58*P$10</f>
        <v>0</v>
      </c>
      <c r="Q58" s="493">
        <f t="shared" ref="Q58:R61" si="58">I58*$K58*Q$10</f>
        <v>0</v>
      </c>
      <c r="R58" s="493">
        <f t="shared" si="58"/>
        <v>0</v>
      </c>
      <c r="S58" s="358">
        <f>SUM(M58:R58)</f>
        <v>0</v>
      </c>
    </row>
    <row r="59" spans="1:19" ht="57.75" customHeight="1">
      <c r="B59" s="643" t="s">
        <v>954</v>
      </c>
      <c r="C59" s="494" t="s">
        <v>965</v>
      </c>
      <c r="D59" s="37" t="s">
        <v>22</v>
      </c>
      <c r="E59" s="37">
        <f>'Impl plan'!E50</f>
        <v>0</v>
      </c>
      <c r="F59" s="568">
        <f>'Impl plan'!F50</f>
        <v>0</v>
      </c>
      <c r="G59" s="568">
        <f>'Impl plan'!G50</f>
        <v>1</v>
      </c>
      <c r="H59" s="568">
        <f>'Impl plan'!H50</f>
        <v>0</v>
      </c>
      <c r="I59" s="568">
        <f>'Impl plan'!I50</f>
        <v>0</v>
      </c>
      <c r="J59" s="652">
        <f>'Impl plan'!J50</f>
        <v>0</v>
      </c>
      <c r="K59" s="358">
        <f>'Unit Cost'!G409</f>
        <v>36343.75</v>
      </c>
      <c r="L59" s="517">
        <v>0.05</v>
      </c>
      <c r="M59" s="493">
        <f t="shared" si="54"/>
        <v>0</v>
      </c>
      <c r="N59" s="493">
        <f t="shared" si="55"/>
        <v>0</v>
      </c>
      <c r="O59" s="493">
        <f t="shared" si="56"/>
        <v>40068.984375</v>
      </c>
      <c r="P59" s="493">
        <f t="shared" si="57"/>
        <v>0</v>
      </c>
      <c r="Q59" s="493">
        <f t="shared" si="58"/>
        <v>0</v>
      </c>
      <c r="R59" s="493">
        <f t="shared" si="58"/>
        <v>0</v>
      </c>
      <c r="S59" s="358">
        <f t="shared" ref="S59:S61" si="59">SUM(M59:R59)</f>
        <v>40068.984375</v>
      </c>
    </row>
    <row r="60" spans="1:19" ht="57.75" customHeight="1">
      <c r="B60" s="643" t="s">
        <v>955</v>
      </c>
      <c r="C60" s="494" t="s">
        <v>946</v>
      </c>
      <c r="D60" s="37" t="str">
        <f>'Impl plan'!D51</f>
        <v xml:space="preserve">per year events </v>
      </c>
      <c r="E60" s="37">
        <f>'Impl plan'!E51</f>
        <v>1</v>
      </c>
      <c r="F60" s="568">
        <f>'Impl plan'!F51</f>
        <v>1</v>
      </c>
      <c r="G60" s="568">
        <f>'Impl plan'!G51</f>
        <v>1</v>
      </c>
      <c r="H60" s="568">
        <f>'Impl plan'!H51</f>
        <v>1</v>
      </c>
      <c r="I60" s="568">
        <f>'Impl plan'!I51</f>
        <v>1</v>
      </c>
      <c r="J60" s="652">
        <f>'Impl plan'!J51</f>
        <v>1</v>
      </c>
      <c r="K60" s="358">
        <f>'Unit Cost'!G441</f>
        <v>543375</v>
      </c>
      <c r="L60" s="517">
        <v>0.05</v>
      </c>
      <c r="M60" s="493">
        <f t="shared" si="54"/>
        <v>543375</v>
      </c>
      <c r="N60" s="493">
        <f t="shared" si="55"/>
        <v>570543.75</v>
      </c>
      <c r="O60" s="493">
        <f t="shared" si="56"/>
        <v>599070.9375</v>
      </c>
      <c r="P60" s="493">
        <f t="shared" si="57"/>
        <v>629024.48437500012</v>
      </c>
      <c r="Q60" s="493">
        <f t="shared" si="58"/>
        <v>660475.70859375014</v>
      </c>
      <c r="R60" s="493">
        <f t="shared" si="58"/>
        <v>693499.49402343773</v>
      </c>
      <c r="S60" s="358">
        <f t="shared" si="59"/>
        <v>3695989.374492188</v>
      </c>
    </row>
    <row r="61" spans="1:19" ht="57.75" customHeight="1">
      <c r="B61" s="643" t="s">
        <v>956</v>
      </c>
      <c r="C61" s="494" t="s">
        <v>969</v>
      </c>
      <c r="D61" s="37" t="str">
        <f>D60</f>
        <v xml:space="preserve">per year events </v>
      </c>
      <c r="E61" s="37">
        <f>'Impl plan'!E52</f>
        <v>1</v>
      </c>
      <c r="F61" s="568">
        <f>'Impl plan'!F52</f>
        <v>1</v>
      </c>
      <c r="G61" s="568">
        <f>'Impl plan'!G52</f>
        <v>1</v>
      </c>
      <c r="H61" s="568">
        <f>'Impl plan'!H52</f>
        <v>1</v>
      </c>
      <c r="I61" s="568">
        <f>'Impl plan'!I52</f>
        <v>1</v>
      </c>
      <c r="J61" s="652">
        <f>'Impl plan'!J52</f>
        <v>1</v>
      </c>
      <c r="K61" s="358">
        <f>'Unit Cost'!G451</f>
        <v>389156.24999999994</v>
      </c>
      <c r="L61" s="517">
        <v>0.05</v>
      </c>
      <c r="M61" s="493">
        <f t="shared" si="54"/>
        <v>389156.24999999994</v>
      </c>
      <c r="N61" s="493">
        <f t="shared" si="55"/>
        <v>408614.06249999994</v>
      </c>
      <c r="O61" s="493">
        <f t="shared" si="56"/>
        <v>429044.76562499994</v>
      </c>
      <c r="P61" s="493">
        <f t="shared" si="57"/>
        <v>450497.00390625</v>
      </c>
      <c r="Q61" s="493">
        <f t="shared" si="58"/>
        <v>473021.85410156252</v>
      </c>
      <c r="R61" s="493">
        <f t="shared" si="58"/>
        <v>496672.94680664071</v>
      </c>
      <c r="S61" s="358">
        <f t="shared" si="59"/>
        <v>2647006.8829394532</v>
      </c>
    </row>
    <row r="62" spans="1:19" s="563" customFormat="1" ht="33" customHeight="1">
      <c r="A62" s="48"/>
      <c r="B62" s="532"/>
      <c r="C62" s="532" t="s">
        <v>354</v>
      </c>
      <c r="D62" s="45"/>
      <c r="E62" s="45"/>
      <c r="F62" s="45"/>
      <c r="G62" s="45"/>
      <c r="H62" s="45"/>
      <c r="I62" s="45"/>
      <c r="J62" s="45"/>
      <c r="K62" s="362"/>
      <c r="L62" s="533"/>
      <c r="M62" s="362">
        <f>SUM(M57:M61)</f>
        <v>1875491.296875</v>
      </c>
      <c r="N62" s="362">
        <f t="shared" ref="N62:Q62" si="60">SUM(N57:N61)</f>
        <v>1969265.8617187501</v>
      </c>
      <c r="O62" s="362">
        <f t="shared" si="60"/>
        <v>2107798.1391796875</v>
      </c>
      <c r="P62" s="362">
        <f t="shared" si="60"/>
        <v>2171115.6125449222</v>
      </c>
      <c r="Q62" s="362">
        <f t="shared" si="60"/>
        <v>2279671.3931721682</v>
      </c>
      <c r="R62" s="362">
        <f t="shared" ref="R62" si="61">SUM(R57:R61)</f>
        <v>2393654.9628307773</v>
      </c>
      <c r="S62" s="362">
        <f>SUM(M62:R62)</f>
        <v>12796997.266321305</v>
      </c>
    </row>
    <row r="63" spans="1:19" ht="24" customHeight="1">
      <c r="B63" s="817" t="s">
        <v>1149</v>
      </c>
      <c r="C63" s="817"/>
      <c r="D63" s="817"/>
      <c r="E63" s="817"/>
      <c r="F63" s="817"/>
      <c r="G63" s="817"/>
      <c r="H63" s="817"/>
      <c r="I63" s="817"/>
      <c r="J63" s="817"/>
      <c r="K63" s="817"/>
      <c r="L63" s="817"/>
      <c r="M63" s="817"/>
      <c r="N63" s="817"/>
      <c r="O63" s="817"/>
      <c r="P63" s="817"/>
      <c r="Q63" s="817"/>
      <c r="R63" s="817"/>
      <c r="S63" s="817"/>
    </row>
    <row r="64" spans="1:19" ht="27.75" customHeight="1">
      <c r="B64" s="15" t="s">
        <v>26</v>
      </c>
      <c r="C64" s="494" t="s">
        <v>277</v>
      </c>
      <c r="D64" s="37"/>
      <c r="E64" s="481"/>
      <c r="F64" s="481"/>
      <c r="G64" s="27"/>
      <c r="H64" s="481"/>
      <c r="I64" s="481"/>
      <c r="J64" s="481"/>
      <c r="K64" s="358"/>
      <c r="L64" s="517"/>
      <c r="M64" s="358">
        <f>SUM(M65:M68)</f>
        <v>691508.8</v>
      </c>
      <c r="N64" s="358">
        <f t="shared" ref="N64:P64" si="62">SUM(N65:N68)</f>
        <v>1087640.3999999999</v>
      </c>
      <c r="O64" s="358">
        <f t="shared" si="62"/>
        <v>1430032.0092187501</v>
      </c>
      <c r="P64" s="358">
        <f t="shared" si="62"/>
        <v>1670545.4850000001</v>
      </c>
      <c r="Q64" s="358">
        <f>SUM(Q65:Q68)</f>
        <v>1754072.7592500001</v>
      </c>
      <c r="R64" s="358">
        <f>SUM(R65:R68)</f>
        <v>2097032.7097125007</v>
      </c>
      <c r="S64" s="358">
        <f>SUM(M64:R64)</f>
        <v>8730832.1631812509</v>
      </c>
    </row>
    <row r="65" spans="1:19" ht="32.25" customHeight="1">
      <c r="B65" s="23" t="s">
        <v>220</v>
      </c>
      <c r="C65" s="494" t="s">
        <v>282</v>
      </c>
      <c r="D65" s="37" t="s">
        <v>40</v>
      </c>
      <c r="E65" s="37">
        <f>'Impl plan'!E55</f>
        <v>0</v>
      </c>
      <c r="F65" s="568">
        <f>'Impl plan'!F55</f>
        <v>0</v>
      </c>
      <c r="G65" s="568">
        <f>'Impl plan'!G55</f>
        <v>1</v>
      </c>
      <c r="H65" s="568">
        <f>'Impl plan'!H55</f>
        <v>0</v>
      </c>
      <c r="I65" s="568">
        <f>'Impl plan'!I55</f>
        <v>0</v>
      </c>
      <c r="J65" s="652">
        <f>'Impl plan'!J55</f>
        <v>0</v>
      </c>
      <c r="K65" s="358">
        <f>'Unit Cost'!G464</f>
        <v>12617.1875</v>
      </c>
      <c r="L65" s="517">
        <v>0.05</v>
      </c>
      <c r="M65" s="493">
        <f t="shared" ref="M65:R65" si="63">E65*$K65*M$10</f>
        <v>0</v>
      </c>
      <c r="N65" s="493">
        <f t="shared" si="63"/>
        <v>0</v>
      </c>
      <c r="O65" s="493">
        <f t="shared" si="63"/>
        <v>13910.44921875</v>
      </c>
      <c r="P65" s="493">
        <f t="shared" si="63"/>
        <v>0</v>
      </c>
      <c r="Q65" s="493">
        <f t="shared" si="63"/>
        <v>0</v>
      </c>
      <c r="R65" s="493">
        <f t="shared" si="63"/>
        <v>0</v>
      </c>
      <c r="S65" s="358">
        <f>SUM(M65:R65)</f>
        <v>13910.44921875</v>
      </c>
    </row>
    <row r="66" spans="1:19" ht="37.5" customHeight="1">
      <c r="B66" s="23" t="s">
        <v>221</v>
      </c>
      <c r="C66" s="494" t="s">
        <v>278</v>
      </c>
      <c r="D66" s="37" t="s">
        <v>21</v>
      </c>
      <c r="E66" s="37">
        <f>'Impl plan'!E56</f>
        <v>12</v>
      </c>
      <c r="F66" s="568">
        <f>'Impl plan'!F56</f>
        <v>10</v>
      </c>
      <c r="G66" s="568">
        <f>'Impl plan'!G56</f>
        <v>10</v>
      </c>
      <c r="H66" s="568">
        <f>'Impl plan'!H56</f>
        <v>0</v>
      </c>
      <c r="I66" s="568">
        <f>'Impl plan'!I56</f>
        <v>0</v>
      </c>
      <c r="J66" s="652">
        <f>'Impl plan'!J56</f>
        <v>0</v>
      </c>
      <c r="K66" s="358">
        <f>'Unit Cost'!G471</f>
        <v>5000</v>
      </c>
      <c r="L66" s="517">
        <v>0.05</v>
      </c>
      <c r="M66" s="493">
        <f t="shared" ref="M66:M68" si="64">E66*$K66*M$10</f>
        <v>60000</v>
      </c>
      <c r="N66" s="493">
        <f t="shared" ref="N66:N68" si="65">F66*$K66*N$10</f>
        <v>52500</v>
      </c>
      <c r="O66" s="493">
        <f t="shared" ref="O66:O68" si="66">G66*$K66*O$10</f>
        <v>55125</v>
      </c>
      <c r="P66" s="493">
        <f t="shared" ref="P66:P68" si="67">H66*$K66*P$10</f>
        <v>0</v>
      </c>
      <c r="Q66" s="493">
        <f t="shared" ref="Q66:R68" si="68">I66*$K66*Q$10</f>
        <v>0</v>
      </c>
      <c r="R66" s="493">
        <f t="shared" si="68"/>
        <v>0</v>
      </c>
      <c r="S66" s="358">
        <f t="shared" ref="S66:S69" si="69">SUM(M66:R66)</f>
        <v>167625</v>
      </c>
    </row>
    <row r="67" spans="1:19" ht="37.5" customHeight="1">
      <c r="B67" s="23" t="s">
        <v>292</v>
      </c>
      <c r="C67" s="494" t="s">
        <v>279</v>
      </c>
      <c r="D67" s="37" t="s">
        <v>21</v>
      </c>
      <c r="E67" s="37">
        <f>'Impl plan'!E57</f>
        <v>18</v>
      </c>
      <c r="F67" s="568">
        <f>'Impl plan'!F57</f>
        <v>30</v>
      </c>
      <c r="G67" s="568">
        <f>'Impl plan'!G57</f>
        <v>40</v>
      </c>
      <c r="H67" s="568">
        <f>'Impl plan'!H57</f>
        <v>50</v>
      </c>
      <c r="I67" s="568">
        <f>'Impl plan'!I57</f>
        <v>50</v>
      </c>
      <c r="J67" s="652">
        <f>'Impl plan'!J57</f>
        <v>50</v>
      </c>
      <c r="K67" s="358">
        <f>'Unit Cost'!G507</f>
        <v>12861.599999999999</v>
      </c>
      <c r="L67" s="517">
        <v>0.05</v>
      </c>
      <c r="M67" s="493">
        <f t="shared" si="64"/>
        <v>231508.8</v>
      </c>
      <c r="N67" s="493">
        <f t="shared" si="65"/>
        <v>405140.39999999997</v>
      </c>
      <c r="O67" s="493">
        <f t="shared" si="66"/>
        <v>567196.55999999994</v>
      </c>
      <c r="P67" s="493">
        <f t="shared" si="67"/>
        <v>744445.48499999999</v>
      </c>
      <c r="Q67" s="493">
        <f t="shared" si="68"/>
        <v>781667.75925</v>
      </c>
      <c r="R67" s="493">
        <f t="shared" si="68"/>
        <v>820751.1472125001</v>
      </c>
      <c r="S67" s="358">
        <f t="shared" si="69"/>
        <v>3550710.1514625</v>
      </c>
    </row>
    <row r="68" spans="1:19" ht="37.5" customHeight="1">
      <c r="B68" s="23" t="s">
        <v>992</v>
      </c>
      <c r="C68" s="494" t="s">
        <v>994</v>
      </c>
      <c r="D68" s="37" t="s">
        <v>996</v>
      </c>
      <c r="E68" s="37">
        <f>'Impl plan'!E58</f>
        <v>100000</v>
      </c>
      <c r="F68" s="568">
        <f>'Impl plan'!F58</f>
        <v>150000</v>
      </c>
      <c r="G68" s="568">
        <f>'Impl plan'!G58</f>
        <v>180000</v>
      </c>
      <c r="H68" s="568">
        <f>'Impl plan'!H58</f>
        <v>200000</v>
      </c>
      <c r="I68" s="568">
        <f>'Impl plan'!I58</f>
        <v>200000</v>
      </c>
      <c r="J68" s="652">
        <f>'Impl plan'!J58</f>
        <v>250000</v>
      </c>
      <c r="K68" s="358">
        <f>'Unit Cost'!G513</f>
        <v>4</v>
      </c>
      <c r="L68" s="517">
        <v>0.05</v>
      </c>
      <c r="M68" s="493">
        <f t="shared" si="64"/>
        <v>400000</v>
      </c>
      <c r="N68" s="493">
        <f t="shared" si="65"/>
        <v>630000</v>
      </c>
      <c r="O68" s="493">
        <f t="shared" si="66"/>
        <v>793800</v>
      </c>
      <c r="P68" s="493">
        <f t="shared" si="67"/>
        <v>926100.00000000012</v>
      </c>
      <c r="Q68" s="493">
        <f t="shared" si="68"/>
        <v>972405.00000000023</v>
      </c>
      <c r="R68" s="493">
        <f t="shared" si="68"/>
        <v>1276281.5625000005</v>
      </c>
      <c r="S68" s="358">
        <f t="shared" si="69"/>
        <v>4998586.5625</v>
      </c>
    </row>
    <row r="69" spans="1:19" s="563" customFormat="1" ht="42" customHeight="1">
      <c r="A69" s="40"/>
      <c r="B69" s="15" t="s">
        <v>27</v>
      </c>
      <c r="C69" s="540" t="s">
        <v>254</v>
      </c>
      <c r="D69" s="39"/>
      <c r="E69" s="39"/>
      <c r="F69" s="39"/>
      <c r="G69" s="36"/>
      <c r="H69" s="39"/>
      <c r="I69" s="39"/>
      <c r="J69" s="646"/>
      <c r="K69" s="358"/>
      <c r="L69" s="517"/>
      <c r="M69" s="358">
        <f t="shared" ref="M69:R69" si="70">SUM(M70:M72)</f>
        <v>26209.353515625</v>
      </c>
      <c r="N69" s="358">
        <f t="shared" si="70"/>
        <v>84547.946191406256</v>
      </c>
      <c r="O69" s="358">
        <f t="shared" si="70"/>
        <v>28895.812250976564</v>
      </c>
      <c r="P69" s="358">
        <f t="shared" si="70"/>
        <v>30340.602863525393</v>
      </c>
      <c r="Q69" s="358">
        <f t="shared" si="70"/>
        <v>31857.633006701668</v>
      </c>
      <c r="R69" s="358">
        <f t="shared" si="70"/>
        <v>33450.514657036751</v>
      </c>
      <c r="S69" s="358">
        <f t="shared" si="69"/>
        <v>235301.86248527165</v>
      </c>
    </row>
    <row r="70" spans="1:19" ht="36.75" customHeight="1">
      <c r="B70" s="23" t="s">
        <v>222</v>
      </c>
      <c r="C70" s="494" t="s">
        <v>30</v>
      </c>
      <c r="D70" s="37" t="s">
        <v>31</v>
      </c>
      <c r="E70" s="37">
        <f>'Impl plan'!E60</f>
        <v>23</v>
      </c>
      <c r="F70" s="568">
        <f>'Impl plan'!F60</f>
        <v>23</v>
      </c>
      <c r="G70" s="568">
        <f>'Impl plan'!G60</f>
        <v>23</v>
      </c>
      <c r="H70" s="568">
        <f>'Impl plan'!H60</f>
        <v>23</v>
      </c>
      <c r="I70" s="568">
        <f>'Impl plan'!I60</f>
        <v>23</v>
      </c>
      <c r="J70" s="652">
        <f>'Impl plan'!J60</f>
        <v>23</v>
      </c>
      <c r="K70" s="518">
        <f>'Unit Cost'!G529</f>
        <v>1139.537109375</v>
      </c>
      <c r="L70" s="519">
        <v>0.05</v>
      </c>
      <c r="M70" s="493">
        <f>E70*$K70*M$10</f>
        <v>26209.353515625</v>
      </c>
      <c r="N70" s="493">
        <f t="shared" ref="N70:N72" si="71">F70*$K70*N$10</f>
        <v>27519.821191406252</v>
      </c>
      <c r="O70" s="493">
        <f t="shared" ref="O70:O72" si="72">G70*$K70*O$10</f>
        <v>28895.812250976564</v>
      </c>
      <c r="P70" s="493">
        <f t="shared" ref="P70:P72" si="73">H70*$K70*P$10</f>
        <v>30340.602863525393</v>
      </c>
      <c r="Q70" s="493">
        <f t="shared" ref="Q70:R72" si="74">I70*$K70*Q$10</f>
        <v>31857.633006701668</v>
      </c>
      <c r="R70" s="493">
        <f t="shared" si="74"/>
        <v>33450.514657036751</v>
      </c>
      <c r="S70" s="359">
        <f>SUM(M70:R70)</f>
        <v>178273.73748527165</v>
      </c>
    </row>
    <row r="71" spans="1:19" ht="25.5" customHeight="1">
      <c r="B71" s="23" t="s">
        <v>223</v>
      </c>
      <c r="C71" s="494" t="s">
        <v>33</v>
      </c>
      <c r="D71" s="37" t="s">
        <v>34</v>
      </c>
      <c r="E71" s="37">
        <f>'Impl plan'!E61</f>
        <v>0</v>
      </c>
      <c r="F71" s="568">
        <f>'Impl plan'!F61</f>
        <v>1</v>
      </c>
      <c r="G71" s="568">
        <f>'Impl plan'!G61</f>
        <v>0</v>
      </c>
      <c r="H71" s="568">
        <f>'Impl plan'!H61</f>
        <v>0</v>
      </c>
      <c r="I71" s="568">
        <f>'Impl plan'!I61</f>
        <v>0</v>
      </c>
      <c r="J71" s="652">
        <f>'Impl plan'!J61</f>
        <v>0</v>
      </c>
      <c r="K71" s="518">
        <f>'Unit Cost'!G541</f>
        <v>26812.500000000004</v>
      </c>
      <c r="L71" s="519">
        <v>0.05</v>
      </c>
      <c r="M71" s="493">
        <f t="shared" ref="M71:M82" si="75">E71*$K71*M$10</f>
        <v>0</v>
      </c>
      <c r="N71" s="493">
        <f t="shared" si="71"/>
        <v>28153.125000000004</v>
      </c>
      <c r="O71" s="493">
        <f t="shared" si="72"/>
        <v>0</v>
      </c>
      <c r="P71" s="493">
        <f t="shared" si="73"/>
        <v>0</v>
      </c>
      <c r="Q71" s="493">
        <f t="shared" si="74"/>
        <v>0</v>
      </c>
      <c r="R71" s="493">
        <f t="shared" si="74"/>
        <v>0</v>
      </c>
      <c r="S71" s="359">
        <f t="shared" ref="S71:S72" si="76">SUM(M71:R71)</f>
        <v>28153.125000000004</v>
      </c>
    </row>
    <row r="72" spans="1:19" ht="31.5" customHeight="1">
      <c r="B72" s="23" t="s">
        <v>224</v>
      </c>
      <c r="C72" s="494" t="s">
        <v>36</v>
      </c>
      <c r="D72" s="37" t="s">
        <v>37</v>
      </c>
      <c r="E72" s="37">
        <f>'Impl plan'!E62</f>
        <v>0</v>
      </c>
      <c r="F72" s="568">
        <f>'Impl plan'!F62</f>
        <v>1</v>
      </c>
      <c r="G72" s="568">
        <f>'Impl plan'!G62</f>
        <v>0</v>
      </c>
      <c r="H72" s="568">
        <f>'Impl plan'!H62</f>
        <v>0</v>
      </c>
      <c r="I72" s="568">
        <f>'Impl plan'!I62</f>
        <v>0</v>
      </c>
      <c r="J72" s="652">
        <f>'Impl plan'!J62</f>
        <v>0</v>
      </c>
      <c r="K72" s="518">
        <f>'Unit Cost'!G551</f>
        <v>27500.000000000004</v>
      </c>
      <c r="L72" s="519">
        <v>0.05</v>
      </c>
      <c r="M72" s="493">
        <f t="shared" si="75"/>
        <v>0</v>
      </c>
      <c r="N72" s="493">
        <f t="shared" si="71"/>
        <v>28875.000000000004</v>
      </c>
      <c r="O72" s="493">
        <f t="shared" si="72"/>
        <v>0</v>
      </c>
      <c r="P72" s="493">
        <f t="shared" si="73"/>
        <v>0</v>
      </c>
      <c r="Q72" s="493">
        <f t="shared" si="74"/>
        <v>0</v>
      </c>
      <c r="R72" s="493">
        <f t="shared" si="74"/>
        <v>0</v>
      </c>
      <c r="S72" s="359">
        <f t="shared" si="76"/>
        <v>28875.000000000004</v>
      </c>
    </row>
    <row r="73" spans="1:19" s="563" customFormat="1" ht="39" customHeight="1">
      <c r="A73" s="40"/>
      <c r="B73" s="15" t="s">
        <v>28</v>
      </c>
      <c r="C73" s="15" t="s">
        <v>343</v>
      </c>
      <c r="D73" s="39"/>
      <c r="E73" s="39"/>
      <c r="F73" s="39"/>
      <c r="G73" s="36"/>
      <c r="H73" s="39"/>
      <c r="I73" s="39"/>
      <c r="J73" s="651"/>
      <c r="K73" s="358"/>
      <c r="L73" s="517"/>
      <c r="M73" s="358">
        <f t="shared" ref="M73:R73" si="77">SUM(M74:M78)</f>
        <v>287500</v>
      </c>
      <c r="N73" s="358">
        <f t="shared" si="77"/>
        <v>840000</v>
      </c>
      <c r="O73" s="358">
        <f t="shared" si="77"/>
        <v>890129.21484375</v>
      </c>
      <c r="P73" s="358">
        <f t="shared" si="77"/>
        <v>926100.00000000012</v>
      </c>
      <c r="Q73" s="358">
        <f t="shared" si="77"/>
        <v>972405.00000000023</v>
      </c>
      <c r="R73" s="358">
        <f t="shared" si="77"/>
        <v>1021025.2500000002</v>
      </c>
      <c r="S73" s="358">
        <f>SUM(M73:R73)</f>
        <v>4937159.46484375</v>
      </c>
    </row>
    <row r="74" spans="1:19" ht="31.5" customHeight="1">
      <c r="B74" s="23" t="s">
        <v>29</v>
      </c>
      <c r="C74" s="494" t="s">
        <v>288</v>
      </c>
      <c r="D74" s="37" t="s">
        <v>40</v>
      </c>
      <c r="E74" s="37">
        <f>'Impl plan'!E64</f>
        <v>0</v>
      </c>
      <c r="F74" s="568">
        <f>'Impl plan'!F64</f>
        <v>0</v>
      </c>
      <c r="G74" s="568">
        <f>'Impl plan'!G64</f>
        <v>1</v>
      </c>
      <c r="H74" s="568">
        <f>'Impl plan'!H64</f>
        <v>0</v>
      </c>
      <c r="I74" s="568">
        <f>'Impl plan'!I64</f>
        <v>0</v>
      </c>
      <c r="J74" s="652">
        <f>'Impl plan'!J64</f>
        <v>0</v>
      </c>
      <c r="K74" s="518">
        <f>'Unit Cost'!G565</f>
        <v>7373.4375000000009</v>
      </c>
      <c r="L74" s="519">
        <v>0.05</v>
      </c>
      <c r="M74" s="493">
        <f t="shared" si="75"/>
        <v>0</v>
      </c>
      <c r="N74" s="493">
        <f t="shared" ref="N74:N78" si="78">F74*$K74*N$10</f>
        <v>0</v>
      </c>
      <c r="O74" s="493">
        <f t="shared" ref="O74:O78" si="79">G74*$K74*O$10</f>
        <v>8129.2148437500009</v>
      </c>
      <c r="P74" s="493">
        <f t="shared" ref="P74:P78" si="80">H74*$K74*P$10</f>
        <v>0</v>
      </c>
      <c r="Q74" s="493">
        <f t="shared" ref="Q74:R78" si="81">I74*$K74*Q$10</f>
        <v>0</v>
      </c>
      <c r="R74" s="493">
        <f t="shared" si="81"/>
        <v>0</v>
      </c>
      <c r="S74" s="358">
        <f>SUM(M74:R74)</f>
        <v>8129.2148437500009</v>
      </c>
    </row>
    <row r="75" spans="1:19" ht="42.75" customHeight="1">
      <c r="B75" s="23" t="s">
        <v>32</v>
      </c>
      <c r="C75" s="494" t="s">
        <v>305</v>
      </c>
      <c r="D75" s="37"/>
      <c r="E75" s="37">
        <f>'Impl plan'!E65</f>
        <v>0</v>
      </c>
      <c r="F75" s="568">
        <f>'Impl plan'!F65</f>
        <v>0</v>
      </c>
      <c r="G75" s="568">
        <f>'Impl plan'!G65</f>
        <v>0</v>
      </c>
      <c r="H75" s="568">
        <f>'Impl plan'!H65</f>
        <v>0</v>
      </c>
      <c r="I75" s="568">
        <f>'Impl plan'!I65</f>
        <v>0</v>
      </c>
      <c r="J75" s="652">
        <f>'Impl plan'!J65</f>
        <v>0</v>
      </c>
      <c r="K75" s="518">
        <f>'Unit Cost'!G570</f>
        <v>0</v>
      </c>
      <c r="L75" s="519">
        <v>0.05</v>
      </c>
      <c r="M75" s="493">
        <f t="shared" si="75"/>
        <v>0</v>
      </c>
      <c r="N75" s="493">
        <f t="shared" si="78"/>
        <v>0</v>
      </c>
      <c r="O75" s="493">
        <f t="shared" si="79"/>
        <v>0</v>
      </c>
      <c r="P75" s="493">
        <f t="shared" si="80"/>
        <v>0</v>
      </c>
      <c r="Q75" s="493">
        <f t="shared" si="81"/>
        <v>0</v>
      </c>
      <c r="R75" s="493">
        <f t="shared" si="81"/>
        <v>0</v>
      </c>
      <c r="S75" s="358">
        <f t="shared" ref="S75:S79" si="82">SUM(M75:R75)</f>
        <v>0</v>
      </c>
    </row>
    <row r="76" spans="1:19" ht="31.5" customHeight="1">
      <c r="B76" s="23" t="s">
        <v>35</v>
      </c>
      <c r="C76" s="494" t="s">
        <v>43</v>
      </c>
      <c r="D76" s="37" t="s">
        <v>44</v>
      </c>
      <c r="E76" s="37">
        <f>'Impl plan'!E66</f>
        <v>0</v>
      </c>
      <c r="F76" s="568">
        <f>'Impl plan'!F66</f>
        <v>0</v>
      </c>
      <c r="G76" s="568">
        <f>'Impl plan'!G66</f>
        <v>0</v>
      </c>
      <c r="H76" s="568">
        <f>'Impl plan'!H66</f>
        <v>0</v>
      </c>
      <c r="I76" s="568">
        <f>'Impl plan'!I66</f>
        <v>0</v>
      </c>
      <c r="J76" s="652">
        <f>'Impl plan'!J66</f>
        <v>0</v>
      </c>
      <c r="K76" s="518">
        <f>'Unit Cost'!G583</f>
        <v>47496.09375</v>
      </c>
      <c r="L76" s="519">
        <v>0.05</v>
      </c>
      <c r="M76" s="493">
        <f t="shared" si="75"/>
        <v>0</v>
      </c>
      <c r="N76" s="493">
        <f t="shared" si="78"/>
        <v>0</v>
      </c>
      <c r="O76" s="493">
        <f t="shared" si="79"/>
        <v>0</v>
      </c>
      <c r="P76" s="493">
        <f t="shared" si="80"/>
        <v>0</v>
      </c>
      <c r="Q76" s="493">
        <f t="shared" si="81"/>
        <v>0</v>
      </c>
      <c r="R76" s="493">
        <f t="shared" si="81"/>
        <v>0</v>
      </c>
      <c r="S76" s="358">
        <f t="shared" si="82"/>
        <v>0</v>
      </c>
    </row>
    <row r="77" spans="1:19" ht="30" customHeight="1">
      <c r="B77" s="23" t="s">
        <v>225</v>
      </c>
      <c r="C77" s="494" t="s">
        <v>45</v>
      </c>
      <c r="D77" s="37" t="s">
        <v>31</v>
      </c>
      <c r="E77" s="37">
        <f>'Impl plan'!E67</f>
        <v>500</v>
      </c>
      <c r="F77" s="568">
        <f>'Impl plan'!F67</f>
        <v>1500</v>
      </c>
      <c r="G77" s="568">
        <f>'Impl plan'!G67</f>
        <v>1500</v>
      </c>
      <c r="H77" s="568">
        <f>'Impl plan'!H67</f>
        <v>2000</v>
      </c>
      <c r="I77" s="568">
        <f>'Impl plan'!I67</f>
        <v>500</v>
      </c>
      <c r="J77" s="652">
        <f>'Impl plan'!J67</f>
        <v>500</v>
      </c>
      <c r="K77" s="518"/>
      <c r="L77" s="519">
        <v>0.05</v>
      </c>
      <c r="M77" s="493">
        <f t="shared" si="75"/>
        <v>0</v>
      </c>
      <c r="N77" s="493">
        <f t="shared" si="78"/>
        <v>0</v>
      </c>
      <c r="O77" s="493">
        <f t="shared" si="79"/>
        <v>0</v>
      </c>
      <c r="P77" s="493">
        <f t="shared" si="80"/>
        <v>0</v>
      </c>
      <c r="Q77" s="493">
        <f t="shared" si="81"/>
        <v>0</v>
      </c>
      <c r="R77" s="493">
        <f t="shared" si="81"/>
        <v>0</v>
      </c>
      <c r="S77" s="358">
        <f t="shared" si="82"/>
        <v>0</v>
      </c>
    </row>
    <row r="78" spans="1:19" ht="32.25" customHeight="1">
      <c r="B78" s="23" t="s">
        <v>248</v>
      </c>
      <c r="C78" s="494" t="s">
        <v>208</v>
      </c>
      <c r="D78" s="37" t="s">
        <v>46</v>
      </c>
      <c r="E78" s="37">
        <f>'Impl plan'!E68</f>
        <v>23</v>
      </c>
      <c r="F78" s="568">
        <f>'Impl plan'!F68</f>
        <v>64</v>
      </c>
      <c r="G78" s="568">
        <f>'Impl plan'!G68</f>
        <v>64</v>
      </c>
      <c r="H78" s="568">
        <f>'Impl plan'!H68</f>
        <v>64</v>
      </c>
      <c r="I78" s="568">
        <f>'Impl plan'!I68</f>
        <v>64</v>
      </c>
      <c r="J78" s="652">
        <f>'Impl plan'!J68</f>
        <v>64</v>
      </c>
      <c r="K78" s="518">
        <f>'Unit Cost'!G606</f>
        <v>12500</v>
      </c>
      <c r="L78" s="519">
        <v>0.05</v>
      </c>
      <c r="M78" s="493">
        <f t="shared" si="75"/>
        <v>287500</v>
      </c>
      <c r="N78" s="493">
        <f t="shared" si="78"/>
        <v>840000</v>
      </c>
      <c r="O78" s="493">
        <f t="shared" si="79"/>
        <v>882000</v>
      </c>
      <c r="P78" s="493">
        <f t="shared" si="80"/>
        <v>926100.00000000012</v>
      </c>
      <c r="Q78" s="493">
        <f t="shared" si="81"/>
        <v>972405.00000000023</v>
      </c>
      <c r="R78" s="493">
        <f t="shared" si="81"/>
        <v>1021025.2500000002</v>
      </c>
      <c r="S78" s="358">
        <f t="shared" si="82"/>
        <v>4929030.25</v>
      </c>
    </row>
    <row r="79" spans="1:19" s="563" customFormat="1" ht="29.25" customHeight="1">
      <c r="A79" s="40"/>
      <c r="B79" s="18" t="s">
        <v>38</v>
      </c>
      <c r="C79" s="15" t="s">
        <v>252</v>
      </c>
      <c r="D79" s="39"/>
      <c r="E79" s="39"/>
      <c r="F79" s="39"/>
      <c r="G79" s="36"/>
      <c r="H79" s="39"/>
      <c r="I79" s="39"/>
      <c r="J79" s="651"/>
      <c r="K79" s="358"/>
      <c r="L79" s="517"/>
      <c r="M79" s="358">
        <f t="shared" ref="M79:R79" si="83">SUM(M80:M82)</f>
        <v>14156.25</v>
      </c>
      <c r="N79" s="358">
        <f t="shared" si="83"/>
        <v>16176.5625</v>
      </c>
      <c r="O79" s="358">
        <f t="shared" si="83"/>
        <v>16985.390625</v>
      </c>
      <c r="P79" s="358">
        <f t="shared" si="83"/>
        <v>17834.660156250004</v>
      </c>
      <c r="Q79" s="358">
        <f t="shared" si="83"/>
        <v>18726.393164062501</v>
      </c>
      <c r="R79" s="358">
        <f t="shared" si="83"/>
        <v>19662.712822265632</v>
      </c>
      <c r="S79" s="358">
        <f t="shared" si="82"/>
        <v>103541.96926757813</v>
      </c>
    </row>
    <row r="80" spans="1:19" ht="33.75" customHeight="1">
      <c r="B80" s="23" t="s">
        <v>39</v>
      </c>
      <c r="C80" s="494" t="s">
        <v>253</v>
      </c>
      <c r="D80" s="37" t="s">
        <v>47</v>
      </c>
      <c r="E80" s="37">
        <f>'Impl plan'!E70</f>
        <v>0</v>
      </c>
      <c r="F80" s="568">
        <f>'Impl plan'!F70</f>
        <v>0</v>
      </c>
      <c r="G80" s="568">
        <f>'Impl plan'!G70</f>
        <v>0</v>
      </c>
      <c r="H80" s="568">
        <f>'Impl plan'!H70</f>
        <v>0</v>
      </c>
      <c r="I80" s="568">
        <f>'Impl plan'!I70</f>
        <v>0</v>
      </c>
      <c r="J80" s="652">
        <f>'Impl plan'!J70</f>
        <v>0</v>
      </c>
      <c r="K80" s="518">
        <f>'Unit Cost'!G627</f>
        <v>53121.875</v>
      </c>
      <c r="L80" s="519">
        <v>0.05</v>
      </c>
      <c r="M80" s="493">
        <f t="shared" si="75"/>
        <v>0</v>
      </c>
      <c r="N80" s="493">
        <f t="shared" ref="N80:N82" si="84">F80*$K80*N$10</f>
        <v>0</v>
      </c>
      <c r="O80" s="493">
        <f t="shared" ref="O80:O82" si="85">G80*$K80*O$10</f>
        <v>0</v>
      </c>
      <c r="P80" s="493">
        <f t="shared" ref="P80:P82" si="86">H80*$K80*P$10</f>
        <v>0</v>
      </c>
      <c r="Q80" s="493">
        <f t="shared" ref="Q80:R82" si="87">I80*$K80*Q$10</f>
        <v>0</v>
      </c>
      <c r="R80" s="493">
        <f t="shared" si="87"/>
        <v>0</v>
      </c>
      <c r="S80" s="358">
        <f>SUM(M80:R80)</f>
        <v>0</v>
      </c>
    </row>
    <row r="81" spans="1:19" ht="61.5" customHeight="1">
      <c r="B81" s="23" t="s">
        <v>41</v>
      </c>
      <c r="C81" s="494" t="s">
        <v>1103</v>
      </c>
      <c r="D81" s="37" t="s">
        <v>48</v>
      </c>
      <c r="E81" s="37">
        <f>'Impl plan'!E71</f>
        <v>23</v>
      </c>
      <c r="F81" s="568">
        <f>'Impl plan'!F71</f>
        <v>23</v>
      </c>
      <c r="G81" s="568">
        <f>'Impl plan'!G71</f>
        <v>23</v>
      </c>
      <c r="H81" s="568">
        <f>'Impl plan'!H71</f>
        <v>23</v>
      </c>
      <c r="I81" s="568">
        <f>'Impl plan'!I71</f>
        <v>23</v>
      </c>
      <c r="J81" s="652">
        <f>'Impl plan'!J71</f>
        <v>23</v>
      </c>
      <c r="K81" s="518">
        <f>'Unit Cost'!G637</f>
        <v>343.75</v>
      </c>
      <c r="L81" s="519">
        <v>0.05</v>
      </c>
      <c r="M81" s="493">
        <f t="shared" si="75"/>
        <v>7906.25</v>
      </c>
      <c r="N81" s="493">
        <f t="shared" si="84"/>
        <v>8301.5625</v>
      </c>
      <c r="O81" s="493">
        <f t="shared" si="85"/>
        <v>8716.640625</v>
      </c>
      <c r="P81" s="493">
        <f t="shared" si="86"/>
        <v>9152.4726562500018</v>
      </c>
      <c r="Q81" s="493">
        <f t="shared" si="87"/>
        <v>9610.0962890625015</v>
      </c>
      <c r="R81" s="493">
        <f t="shared" si="87"/>
        <v>10090.601103515628</v>
      </c>
      <c r="S81" s="358">
        <f t="shared" ref="S81:S83" si="88">SUM(M81:R81)</f>
        <v>53777.623173828128</v>
      </c>
    </row>
    <row r="82" spans="1:19" ht="47.25" customHeight="1">
      <c r="B82" s="23" t="s">
        <v>42</v>
      </c>
      <c r="C82" s="494" t="s">
        <v>923</v>
      </c>
      <c r="D82" s="37" t="s">
        <v>226</v>
      </c>
      <c r="E82" s="37">
        <f>'Impl plan'!E72</f>
        <v>125</v>
      </c>
      <c r="F82" s="568">
        <f>'Impl plan'!F72</f>
        <v>150</v>
      </c>
      <c r="G82" s="568">
        <f>'Impl plan'!G72</f>
        <v>150</v>
      </c>
      <c r="H82" s="568">
        <f>'Impl plan'!H72</f>
        <v>150</v>
      </c>
      <c r="I82" s="568">
        <f>'Impl plan'!I72</f>
        <v>150</v>
      </c>
      <c r="J82" s="652">
        <f>'Impl plan'!J72</f>
        <v>150</v>
      </c>
      <c r="K82" s="518">
        <f>'Unit Cost'!G654</f>
        <v>50</v>
      </c>
      <c r="L82" s="519">
        <v>0.05</v>
      </c>
      <c r="M82" s="493">
        <f t="shared" si="75"/>
        <v>6250</v>
      </c>
      <c r="N82" s="493">
        <f t="shared" si="84"/>
        <v>7875</v>
      </c>
      <c r="O82" s="493">
        <f t="shared" si="85"/>
        <v>8268.75</v>
      </c>
      <c r="P82" s="493">
        <f t="shared" si="86"/>
        <v>8682.1875000000018</v>
      </c>
      <c r="Q82" s="493">
        <f t="shared" si="87"/>
        <v>9116.2968750000018</v>
      </c>
      <c r="R82" s="493">
        <f t="shared" si="87"/>
        <v>9572.1117187500022</v>
      </c>
      <c r="S82" s="358">
        <f t="shared" si="88"/>
        <v>49764.346093750006</v>
      </c>
    </row>
    <row r="83" spans="1:19" ht="47.25" customHeight="1">
      <c r="B83" s="18" t="s">
        <v>1066</v>
      </c>
      <c r="C83" s="582" t="s">
        <v>1068</v>
      </c>
      <c r="D83" s="580" t="s">
        <v>1070</v>
      </c>
      <c r="E83" s="581">
        <f>'Impl plan'!E73</f>
        <v>1</v>
      </c>
      <c r="F83" s="581">
        <f>'Impl plan'!F73</f>
        <v>1</v>
      </c>
      <c r="G83" s="581">
        <f>'Impl plan'!G73</f>
        <v>1</v>
      </c>
      <c r="H83" s="581">
        <f>'Impl plan'!H73</f>
        <v>1</v>
      </c>
      <c r="I83" s="581">
        <f>'Impl plan'!I73</f>
        <v>1</v>
      </c>
      <c r="J83" s="652">
        <f>'Impl plan'!J73</f>
        <v>1</v>
      </c>
      <c r="K83" s="518">
        <f>'Unit Cost'!G660</f>
        <v>0</v>
      </c>
      <c r="L83" s="519">
        <v>0.05</v>
      </c>
      <c r="M83" s="358">
        <f>E83*$K83*M$10</f>
        <v>0</v>
      </c>
      <c r="N83" s="358">
        <f t="shared" ref="N83" si="89">F83*$K83*N$10</f>
        <v>0</v>
      </c>
      <c r="O83" s="358">
        <f t="shared" ref="O83" si="90">G83*$K83*O$10</f>
        <v>0</v>
      </c>
      <c r="P83" s="358">
        <f t="shared" ref="P83" si="91">H83*$K83*P$10</f>
        <v>0</v>
      </c>
      <c r="Q83" s="358">
        <f t="shared" ref="Q83:R83" si="92">I83*$K83*Q$10</f>
        <v>0</v>
      </c>
      <c r="R83" s="358">
        <f t="shared" si="92"/>
        <v>0</v>
      </c>
      <c r="S83" s="358">
        <f t="shared" si="88"/>
        <v>0</v>
      </c>
    </row>
    <row r="84" spans="1:19" s="563" customFormat="1" ht="36.75" customHeight="1">
      <c r="A84" s="48"/>
      <c r="B84" s="537"/>
      <c r="C84" s="532" t="s">
        <v>352</v>
      </c>
      <c r="D84" s="45"/>
      <c r="E84" s="45"/>
      <c r="F84" s="45"/>
      <c r="G84" s="45"/>
      <c r="H84" s="45"/>
      <c r="I84" s="45"/>
      <c r="J84" s="45"/>
      <c r="K84" s="362"/>
      <c r="L84" s="533"/>
      <c r="M84" s="362">
        <f>M79+M73+M69+M64+M83</f>
        <v>1019374.403515625</v>
      </c>
      <c r="N84" s="362">
        <f t="shared" ref="N84:Q84" si="93">N79+N73+N69+N64+N83</f>
        <v>2028364.9086914063</v>
      </c>
      <c r="O84" s="362">
        <f t="shared" si="93"/>
        <v>2366042.4269384765</v>
      </c>
      <c r="P84" s="362">
        <f t="shared" si="93"/>
        <v>2644820.7480197754</v>
      </c>
      <c r="Q84" s="362">
        <f t="shared" si="93"/>
        <v>2777061.7854207647</v>
      </c>
      <c r="R84" s="362">
        <f t="shared" ref="R84" si="94">R79+R73+R69+R64+R83</f>
        <v>3171171.1871918035</v>
      </c>
      <c r="S84" s="362">
        <f>SUM(M84:R84)</f>
        <v>14006835.459777851</v>
      </c>
    </row>
    <row r="85" spans="1:19" s="563" customFormat="1" ht="33" customHeight="1">
      <c r="A85" s="503">
        <f>SUM(M85:Q85)</f>
        <v>205477003.13566893</v>
      </c>
      <c r="B85" s="541"/>
      <c r="C85" s="542" t="s">
        <v>353</v>
      </c>
      <c r="D85" s="49"/>
      <c r="E85" s="49"/>
      <c r="F85" s="49"/>
      <c r="G85" s="49"/>
      <c r="H85" s="49"/>
      <c r="I85" s="49"/>
      <c r="J85" s="49"/>
      <c r="K85" s="364"/>
      <c r="L85" s="543"/>
      <c r="M85" s="364">
        <f>M35+M55+M62+M84</f>
        <v>35242410.107773215</v>
      </c>
      <c r="N85" s="364">
        <f t="shared" ref="N85:Q85" si="95">N35+N55+N62+N84</f>
        <v>38143626.314596444</v>
      </c>
      <c r="O85" s="364">
        <f t="shared" si="95"/>
        <v>41167957.004868411</v>
      </c>
      <c r="P85" s="364">
        <f t="shared" si="95"/>
        <v>44005960.072408713</v>
      </c>
      <c r="Q85" s="364">
        <f t="shared" si="95"/>
        <v>46917049.636022136</v>
      </c>
      <c r="R85" s="364">
        <f t="shared" ref="R85" si="96">R35+R55+R62+R84</f>
        <v>50282259.357315697</v>
      </c>
      <c r="S85" s="364">
        <f t="shared" ref="S85" si="97">S35+S55+S62+S84</f>
        <v>255759262.49298462</v>
      </c>
    </row>
    <row r="86" spans="1:19" ht="35.25" customHeight="1">
      <c r="B86" s="818" t="s">
        <v>1150</v>
      </c>
      <c r="C86" s="818"/>
      <c r="D86" s="818"/>
      <c r="E86" s="818"/>
      <c r="F86" s="818"/>
      <c r="G86" s="818"/>
      <c r="H86" s="818"/>
      <c r="I86" s="818"/>
      <c r="J86" s="818"/>
      <c r="K86" s="818"/>
      <c r="L86" s="818"/>
      <c r="M86" s="818"/>
      <c r="N86" s="818"/>
      <c r="O86" s="818"/>
      <c r="P86" s="818"/>
      <c r="Q86" s="818"/>
      <c r="R86" s="818"/>
      <c r="S86" s="818"/>
    </row>
    <row r="87" spans="1:19" ht="15" customHeight="1">
      <c r="B87" s="820" t="s">
        <v>0</v>
      </c>
      <c r="C87" s="820" t="s">
        <v>1</v>
      </c>
      <c r="D87" s="820" t="s">
        <v>2</v>
      </c>
      <c r="E87" s="820"/>
      <c r="F87" s="820"/>
      <c r="G87" s="820"/>
      <c r="H87" s="820"/>
      <c r="I87" s="820"/>
      <c r="J87" s="648"/>
      <c r="K87" s="821" t="s">
        <v>344</v>
      </c>
      <c r="L87" s="544"/>
      <c r="M87" s="819"/>
      <c r="N87" s="819"/>
      <c r="O87" s="819"/>
      <c r="P87" s="819"/>
      <c r="Q87" s="819"/>
      <c r="R87" s="649"/>
      <c r="S87" s="819" t="s">
        <v>345</v>
      </c>
    </row>
    <row r="88" spans="1:19" ht="39.75" customHeight="1">
      <c r="B88" s="820"/>
      <c r="C88" s="820"/>
      <c r="D88" s="820"/>
      <c r="E88" s="58">
        <f>E8</f>
        <v>2018</v>
      </c>
      <c r="F88" s="58">
        <f t="shared" ref="F88:J88" si="98">F8</f>
        <v>2019</v>
      </c>
      <c r="G88" s="58">
        <f t="shared" si="98"/>
        <v>2020</v>
      </c>
      <c r="H88" s="58">
        <f t="shared" si="98"/>
        <v>2021</v>
      </c>
      <c r="I88" s="58">
        <f t="shared" si="98"/>
        <v>2022</v>
      </c>
      <c r="J88" s="58">
        <f t="shared" si="98"/>
        <v>2023</v>
      </c>
      <c r="K88" s="821"/>
      <c r="L88" s="544"/>
      <c r="M88" s="58">
        <f>M8</f>
        <v>2018</v>
      </c>
      <c r="N88" s="58">
        <f t="shared" ref="N88:R88" si="99">N8</f>
        <v>2019</v>
      </c>
      <c r="O88" s="58">
        <f t="shared" si="99"/>
        <v>2020</v>
      </c>
      <c r="P88" s="58">
        <f t="shared" si="99"/>
        <v>2021</v>
      </c>
      <c r="Q88" s="58">
        <f t="shared" si="99"/>
        <v>2022</v>
      </c>
      <c r="R88" s="58">
        <f t="shared" si="99"/>
        <v>2023</v>
      </c>
      <c r="S88" s="819"/>
    </row>
    <row r="89" spans="1:19" ht="26.25" customHeight="1">
      <c r="B89" s="817" t="s">
        <v>1151</v>
      </c>
      <c r="C89" s="817"/>
      <c r="D89" s="817"/>
      <c r="E89" s="817"/>
      <c r="F89" s="817"/>
      <c r="G89" s="817"/>
      <c r="H89" s="817"/>
      <c r="I89" s="817"/>
      <c r="J89" s="817"/>
      <c r="K89" s="817"/>
      <c r="L89" s="817"/>
      <c r="M89" s="817"/>
      <c r="N89" s="817"/>
      <c r="O89" s="817"/>
      <c r="P89" s="817"/>
      <c r="Q89" s="817"/>
      <c r="R89" s="817"/>
      <c r="S89" s="817"/>
    </row>
    <row r="90" spans="1:19" ht="37.5" customHeight="1">
      <c r="B90" s="19" t="s">
        <v>1060</v>
      </c>
      <c r="C90" s="494" t="s">
        <v>241</v>
      </c>
      <c r="D90" s="37" t="s">
        <v>4</v>
      </c>
      <c r="E90" s="545">
        <f>'Impl plan'!E78</f>
        <v>4800</v>
      </c>
      <c r="F90" s="545">
        <f>'Impl plan'!F78</f>
        <v>5500</v>
      </c>
      <c r="G90" s="545">
        <f>'Impl plan'!G78</f>
        <v>6000</v>
      </c>
      <c r="H90" s="545">
        <f>'Impl plan'!H78</f>
        <v>6500</v>
      </c>
      <c r="I90" s="545">
        <f>'Impl plan'!I78</f>
        <v>6600</v>
      </c>
      <c r="J90" s="545">
        <f>'Impl plan'!J78</f>
        <v>6600</v>
      </c>
      <c r="K90" s="358">
        <f>'Unit Cost'!G676</f>
        <v>539.0139999999999</v>
      </c>
      <c r="L90" s="519">
        <v>0.05</v>
      </c>
      <c r="M90" s="493">
        <f t="shared" ref="M90" si="100">E90*$K90*M$10</f>
        <v>2587267.1999999997</v>
      </c>
      <c r="N90" s="493">
        <f t="shared" ref="N90" si="101">F90*$K90*N$10</f>
        <v>3112805.8499999996</v>
      </c>
      <c r="O90" s="493">
        <f t="shared" ref="O90" si="102">G90*$K90*O$10</f>
        <v>3565577.6099999994</v>
      </c>
      <c r="P90" s="493">
        <f t="shared" ref="P90" si="103">H90*$K90*P$10</f>
        <v>4055844.5313749998</v>
      </c>
      <c r="Q90" s="493">
        <f t="shared" ref="Q90:R90" si="104">I90*$K90*Q$10</f>
        <v>4324154.2465275005</v>
      </c>
      <c r="R90" s="493">
        <f t="shared" si="104"/>
        <v>4540361.9588538753</v>
      </c>
      <c r="S90" s="516">
        <f>SUM(M90:R90)</f>
        <v>22186011.396756373</v>
      </c>
    </row>
    <row r="91" spans="1:19" ht="37.5" customHeight="1">
      <c r="B91" s="19" t="s">
        <v>1061</v>
      </c>
      <c r="C91" s="571" t="s">
        <v>1062</v>
      </c>
      <c r="D91" s="573" t="s">
        <v>4</v>
      </c>
      <c r="E91" s="545">
        <f>'Impl plan'!E79</f>
        <v>4320</v>
      </c>
      <c r="F91" s="545">
        <f>'Impl plan'!F79</f>
        <v>4950</v>
      </c>
      <c r="G91" s="545">
        <f>'Impl plan'!G79</f>
        <v>5400</v>
      </c>
      <c r="H91" s="545">
        <f>'Impl plan'!H79</f>
        <v>5850</v>
      </c>
      <c r="I91" s="545">
        <f>'Impl plan'!I79</f>
        <v>5940</v>
      </c>
      <c r="J91" s="545">
        <f>'Impl plan'!J79</f>
        <v>5940</v>
      </c>
      <c r="K91" s="358">
        <f>'Unit Cost'!G680</f>
        <v>25</v>
      </c>
      <c r="L91" s="519">
        <v>0.05</v>
      </c>
      <c r="M91" s="493">
        <f>E91*$K91*M$10</f>
        <v>108000</v>
      </c>
      <c r="N91" s="493">
        <f t="shared" ref="N91" si="105">F91*$K91*N$10</f>
        <v>129937.5</v>
      </c>
      <c r="O91" s="493">
        <f t="shared" ref="O91" si="106">G91*$K91*O$10</f>
        <v>148837.5</v>
      </c>
      <c r="P91" s="493">
        <f t="shared" ref="P91" si="107">H91*$K91*P$10</f>
        <v>169302.65625000003</v>
      </c>
      <c r="Q91" s="493">
        <f t="shared" ref="Q91:R91" si="108">I91*$K91*Q$10</f>
        <v>180502.67812500003</v>
      </c>
      <c r="R91" s="493">
        <f t="shared" si="108"/>
        <v>189527.81203125004</v>
      </c>
      <c r="S91" s="516">
        <f>SUM(M91:R91)</f>
        <v>926108.14640625007</v>
      </c>
    </row>
    <row r="92" spans="1:19" ht="25.5" customHeight="1">
      <c r="A92" s="35" t="s">
        <v>357</v>
      </c>
      <c r="B92" s="546"/>
      <c r="C92" s="532" t="s">
        <v>358</v>
      </c>
      <c r="D92" s="45"/>
      <c r="E92" s="52"/>
      <c r="F92" s="52"/>
      <c r="G92" s="52"/>
      <c r="H92" s="52"/>
      <c r="I92" s="52"/>
      <c r="J92" s="52"/>
      <c r="K92" s="362"/>
      <c r="L92" s="533"/>
      <c r="M92" s="363">
        <f>M90+M91</f>
        <v>2695267.1999999997</v>
      </c>
      <c r="N92" s="363">
        <f t="shared" ref="N92:Q92" si="109">N90+N91</f>
        <v>3242743.3499999996</v>
      </c>
      <c r="O92" s="363">
        <f t="shared" si="109"/>
        <v>3714415.1099999994</v>
      </c>
      <c r="P92" s="363">
        <f t="shared" si="109"/>
        <v>4225147.1876250003</v>
      </c>
      <c r="Q92" s="363">
        <f t="shared" si="109"/>
        <v>4504656.9246525001</v>
      </c>
      <c r="R92" s="363">
        <f t="shared" ref="R92" si="110">R90+R91</f>
        <v>4729889.7708851257</v>
      </c>
      <c r="S92" s="362">
        <f>SUM(M92:R92)</f>
        <v>23112119.543162622</v>
      </c>
    </row>
    <row r="93" spans="1:19" ht="32.450000000000003" customHeight="1">
      <c r="B93" s="817" t="s">
        <v>1152</v>
      </c>
      <c r="C93" s="817"/>
      <c r="D93" s="817"/>
      <c r="E93" s="817"/>
      <c r="F93" s="817"/>
      <c r="G93" s="817"/>
      <c r="H93" s="817"/>
      <c r="I93" s="817"/>
      <c r="J93" s="817"/>
      <c r="K93" s="817"/>
      <c r="L93" s="817"/>
      <c r="M93" s="817"/>
      <c r="N93" s="817"/>
      <c r="O93" s="817"/>
      <c r="P93" s="817"/>
      <c r="Q93" s="817"/>
      <c r="R93" s="817"/>
      <c r="S93" s="817"/>
    </row>
    <row r="94" spans="1:19" ht="43.9" customHeight="1">
      <c r="B94" s="19" t="s">
        <v>86</v>
      </c>
      <c r="C94" s="642" t="s">
        <v>1146</v>
      </c>
      <c r="D94" s="37" t="s">
        <v>4</v>
      </c>
      <c r="E94" s="37">
        <f>'Impl plan'!E81</f>
        <v>23</v>
      </c>
      <c r="F94" s="568">
        <f>'Impl plan'!F81</f>
        <v>23</v>
      </c>
      <c r="G94" s="568">
        <f>'Impl plan'!G81</f>
        <v>23</v>
      </c>
      <c r="H94" s="568">
        <f>'Impl plan'!H81</f>
        <v>23</v>
      </c>
      <c r="I94" s="568">
        <f>'Impl plan'!I81</f>
        <v>23</v>
      </c>
      <c r="J94" s="652">
        <f>'Impl plan'!J81</f>
        <v>23</v>
      </c>
      <c r="K94" s="358">
        <f>'Unit Cost'!G692</f>
        <v>250</v>
      </c>
      <c r="L94" s="517">
        <v>0.05</v>
      </c>
      <c r="M94" s="493">
        <f t="shared" ref="M94:M97" si="111">E94*$K94*M$10</f>
        <v>5750</v>
      </c>
      <c r="N94" s="493">
        <f t="shared" ref="N94:N97" si="112">F94*$K94*N$10</f>
        <v>6037.5</v>
      </c>
      <c r="O94" s="493">
        <f t="shared" ref="O94:O97" si="113">G94*$K94*O$10</f>
        <v>6339.375</v>
      </c>
      <c r="P94" s="493">
        <f t="shared" ref="P94:P97" si="114">H94*$K94*P$10</f>
        <v>6656.3437500000009</v>
      </c>
      <c r="Q94" s="493">
        <f t="shared" ref="Q94:R97" si="115">I94*$K94*Q$10</f>
        <v>6989.1609375000016</v>
      </c>
      <c r="R94" s="493">
        <f t="shared" si="115"/>
        <v>7338.6189843750017</v>
      </c>
      <c r="S94" s="358">
        <f>SUM(M94:R94)</f>
        <v>39110.998671875001</v>
      </c>
    </row>
    <row r="95" spans="1:19" ht="32.25" customHeight="1">
      <c r="B95" s="19" t="s">
        <v>88</v>
      </c>
      <c r="C95" s="494" t="s">
        <v>83</v>
      </c>
      <c r="D95" s="37"/>
      <c r="E95" s="37">
        <f>'Impl plan'!E82</f>
        <v>1</v>
      </c>
      <c r="F95" s="568">
        <f>'Impl plan'!F82</f>
        <v>1</v>
      </c>
      <c r="G95" s="568">
        <f>'Impl plan'!G82</f>
        <v>1</v>
      </c>
      <c r="H95" s="568">
        <f>'Impl plan'!H82</f>
        <v>1</v>
      </c>
      <c r="I95" s="568">
        <f>'Impl plan'!I82</f>
        <v>1</v>
      </c>
      <c r="J95" s="652">
        <f>'Impl plan'!J82</f>
        <v>1</v>
      </c>
      <c r="K95" s="358">
        <f>'Unit Cost'!G706</f>
        <v>0</v>
      </c>
      <c r="L95" s="517">
        <v>0.05</v>
      </c>
      <c r="M95" s="493">
        <f t="shared" si="111"/>
        <v>0</v>
      </c>
      <c r="N95" s="493">
        <f t="shared" si="112"/>
        <v>0</v>
      </c>
      <c r="O95" s="493">
        <f t="shared" si="113"/>
        <v>0</v>
      </c>
      <c r="P95" s="493">
        <f t="shared" si="114"/>
        <v>0</v>
      </c>
      <c r="Q95" s="493">
        <f t="shared" si="115"/>
        <v>0</v>
      </c>
      <c r="R95" s="493">
        <f t="shared" si="115"/>
        <v>0</v>
      </c>
      <c r="S95" s="358">
        <f t="shared" ref="S95:S97" si="116">SUM(M95:R95)</f>
        <v>0</v>
      </c>
    </row>
    <row r="96" spans="1:19" ht="55.5" customHeight="1">
      <c r="B96" s="19" t="s">
        <v>90</v>
      </c>
      <c r="C96" s="494" t="s">
        <v>84</v>
      </c>
      <c r="D96" s="37" t="s">
        <v>34</v>
      </c>
      <c r="E96" s="37">
        <f>'Impl plan'!E83</f>
        <v>8</v>
      </c>
      <c r="F96" s="568">
        <f>'Impl plan'!F83</f>
        <v>8</v>
      </c>
      <c r="G96" s="568">
        <f>'Impl plan'!G83</f>
        <v>8</v>
      </c>
      <c r="H96" s="568">
        <f>'Impl plan'!H83</f>
        <v>8</v>
      </c>
      <c r="I96" s="568">
        <f>'Impl plan'!I83</f>
        <v>8</v>
      </c>
      <c r="J96" s="652">
        <f>'Impl plan'!J83</f>
        <v>8</v>
      </c>
      <c r="K96" s="358">
        <f>'Unit Cost'!G721</f>
        <v>107695.3125</v>
      </c>
      <c r="L96" s="517">
        <v>0.05</v>
      </c>
      <c r="M96" s="493">
        <f t="shared" si="111"/>
        <v>861562.5</v>
      </c>
      <c r="N96" s="493">
        <f t="shared" si="112"/>
        <v>904640.625</v>
      </c>
      <c r="O96" s="493">
        <f t="shared" si="113"/>
        <v>949872.65625</v>
      </c>
      <c r="P96" s="493">
        <f t="shared" si="114"/>
        <v>997366.28906250012</v>
      </c>
      <c r="Q96" s="493">
        <f t="shared" si="115"/>
        <v>1047234.6035156252</v>
      </c>
      <c r="R96" s="493">
        <f t="shared" si="115"/>
        <v>1099596.3336914065</v>
      </c>
      <c r="S96" s="358">
        <f t="shared" si="116"/>
        <v>5860273.007519532</v>
      </c>
    </row>
    <row r="97" spans="1:19" ht="32.25" customHeight="1">
      <c r="B97" s="19" t="s">
        <v>91</v>
      </c>
      <c r="C97" s="494" t="s">
        <v>85</v>
      </c>
      <c r="D97" s="37" t="s">
        <v>21</v>
      </c>
      <c r="E97" s="37">
        <f>'Impl plan'!E84</f>
        <v>8</v>
      </c>
      <c r="F97" s="568">
        <f>'Impl plan'!F84</f>
        <v>8</v>
      </c>
      <c r="G97" s="568">
        <f>'Impl plan'!G84</f>
        <v>8</v>
      </c>
      <c r="H97" s="568">
        <f>'Impl plan'!H84</f>
        <v>8</v>
      </c>
      <c r="I97" s="568">
        <f>'Impl plan'!I84</f>
        <v>8</v>
      </c>
      <c r="J97" s="652">
        <f>'Impl plan'!J84</f>
        <v>8</v>
      </c>
      <c r="K97" s="518">
        <f>'Unit Cost'!G735</f>
        <v>106476.5625</v>
      </c>
      <c r="L97" s="519">
        <v>0.05</v>
      </c>
      <c r="M97" s="493">
        <f t="shared" si="111"/>
        <v>851812.5</v>
      </c>
      <c r="N97" s="493">
        <f t="shared" si="112"/>
        <v>894403.125</v>
      </c>
      <c r="O97" s="493">
        <f t="shared" si="113"/>
        <v>939123.28125</v>
      </c>
      <c r="P97" s="493">
        <f t="shared" si="114"/>
        <v>986079.44531250012</v>
      </c>
      <c r="Q97" s="493">
        <f t="shared" si="115"/>
        <v>1035383.4175781251</v>
      </c>
      <c r="R97" s="493">
        <f t="shared" si="115"/>
        <v>1087152.5884570316</v>
      </c>
      <c r="S97" s="358">
        <f t="shared" si="116"/>
        <v>5793954.3575976565</v>
      </c>
    </row>
    <row r="98" spans="1:19" ht="21.75" customHeight="1">
      <c r="B98" s="546"/>
      <c r="C98" s="532" t="s">
        <v>359</v>
      </c>
      <c r="D98" s="44"/>
      <c r="E98" s="44"/>
      <c r="F98" s="44"/>
      <c r="G98" s="44"/>
      <c r="H98" s="44"/>
      <c r="I98" s="44"/>
      <c r="J98" s="44"/>
      <c r="K98" s="362"/>
      <c r="L98" s="533"/>
      <c r="M98" s="362">
        <f t="shared" ref="M98:R98" si="117">SUM(M94:M97)</f>
        <v>1719125</v>
      </c>
      <c r="N98" s="362">
        <f t="shared" si="117"/>
        <v>1805081.25</v>
      </c>
      <c r="O98" s="362">
        <f t="shared" si="117"/>
        <v>1895335.3125</v>
      </c>
      <c r="P98" s="362">
        <f t="shared" si="117"/>
        <v>1990102.0781250002</v>
      </c>
      <c r="Q98" s="362">
        <f t="shared" si="117"/>
        <v>2089607.1820312503</v>
      </c>
      <c r="R98" s="362">
        <f t="shared" si="117"/>
        <v>2194087.5411328133</v>
      </c>
      <c r="S98" s="362">
        <f>SUM(M98:R98)</f>
        <v>11693338.363789063</v>
      </c>
    </row>
    <row r="99" spans="1:19" ht="27" customHeight="1">
      <c r="B99" s="817" t="s">
        <v>1153</v>
      </c>
      <c r="C99" s="817"/>
      <c r="D99" s="817"/>
      <c r="E99" s="817"/>
      <c r="F99" s="817"/>
      <c r="G99" s="817"/>
      <c r="H99" s="817"/>
      <c r="I99" s="817"/>
      <c r="J99" s="817"/>
      <c r="K99" s="817"/>
      <c r="L99" s="817"/>
      <c r="M99" s="817"/>
      <c r="N99" s="817"/>
      <c r="O99" s="817"/>
      <c r="P99" s="817"/>
      <c r="Q99" s="817"/>
      <c r="R99" s="817"/>
      <c r="S99" s="817"/>
    </row>
    <row r="100" spans="1:19" ht="42.75" customHeight="1">
      <c r="B100" s="19" t="s">
        <v>94</v>
      </c>
      <c r="C100" s="494" t="s">
        <v>87</v>
      </c>
      <c r="D100" s="37" t="s">
        <v>44</v>
      </c>
      <c r="E100" s="37">
        <f>'Impl plan'!E86</f>
        <v>0</v>
      </c>
      <c r="F100" s="568">
        <f>'Impl plan'!F86</f>
        <v>1</v>
      </c>
      <c r="G100" s="568">
        <f>'Impl plan'!G86</f>
        <v>0</v>
      </c>
      <c r="H100" s="568">
        <f>'Impl plan'!H86</f>
        <v>0</v>
      </c>
      <c r="I100" s="568">
        <f>'Impl plan'!I86</f>
        <v>0</v>
      </c>
      <c r="J100" s="652">
        <f>'Impl plan'!J86</f>
        <v>0</v>
      </c>
      <c r="K100" s="518">
        <f>'Unit Cost'!G757</f>
        <v>40802.1875</v>
      </c>
      <c r="L100" s="519">
        <v>0.05</v>
      </c>
      <c r="M100" s="493">
        <f t="shared" ref="M100:M103" si="118">E100*$K100*M$10</f>
        <v>0</v>
      </c>
      <c r="N100" s="493">
        <f t="shared" ref="N100:N103" si="119">F100*$K100*N$10</f>
        <v>42842.296875</v>
      </c>
      <c r="O100" s="493">
        <f t="shared" ref="O100:O103" si="120">G100*$K100*O$10</f>
        <v>0</v>
      </c>
      <c r="P100" s="493">
        <f t="shared" ref="P100:P103" si="121">H100*$K100*P$10</f>
        <v>0</v>
      </c>
      <c r="Q100" s="493">
        <f t="shared" ref="Q100:R103" si="122">I100*$K100*Q$10</f>
        <v>0</v>
      </c>
      <c r="R100" s="493">
        <f t="shared" si="122"/>
        <v>0</v>
      </c>
      <c r="S100" s="358">
        <f>SUM(M100:R100)</f>
        <v>42842.296875</v>
      </c>
    </row>
    <row r="101" spans="1:19" ht="31.5" customHeight="1">
      <c r="B101" s="19" t="s">
        <v>99</v>
      </c>
      <c r="C101" s="494" t="s">
        <v>89</v>
      </c>
      <c r="D101" s="37" t="s">
        <v>40</v>
      </c>
      <c r="E101" s="37">
        <f>'Impl plan'!E87</f>
        <v>0</v>
      </c>
      <c r="F101" s="568">
        <f>'Impl plan'!F87</f>
        <v>0</v>
      </c>
      <c r="G101" s="568">
        <f>'Impl plan'!G87</f>
        <v>0</v>
      </c>
      <c r="H101" s="568">
        <f>'Impl plan'!H87</f>
        <v>0</v>
      </c>
      <c r="I101" s="568">
        <f>'Impl plan'!I87</f>
        <v>0</v>
      </c>
      <c r="J101" s="652">
        <f>'Impl plan'!J87</f>
        <v>0</v>
      </c>
      <c r="K101" s="518">
        <f>'Unit Cost'!G771</f>
        <v>24628.4375</v>
      </c>
      <c r="L101" s="519">
        <v>0.05</v>
      </c>
      <c r="M101" s="493">
        <f t="shared" si="118"/>
        <v>0</v>
      </c>
      <c r="N101" s="493">
        <f t="shared" si="119"/>
        <v>0</v>
      </c>
      <c r="O101" s="493">
        <f t="shared" si="120"/>
        <v>0</v>
      </c>
      <c r="P101" s="493">
        <f t="shared" si="121"/>
        <v>0</v>
      </c>
      <c r="Q101" s="493">
        <f t="shared" si="122"/>
        <v>0</v>
      </c>
      <c r="R101" s="493">
        <f t="shared" si="122"/>
        <v>0</v>
      </c>
      <c r="S101" s="358">
        <f t="shared" ref="S101:S103" si="123">SUM(M101:R101)</f>
        <v>0</v>
      </c>
    </row>
    <row r="102" spans="1:19" ht="36" customHeight="1">
      <c r="B102" s="19" t="s">
        <v>255</v>
      </c>
      <c r="C102" s="494" t="s">
        <v>638</v>
      </c>
      <c r="D102" s="37" t="s">
        <v>18</v>
      </c>
      <c r="E102" s="37">
        <f>'Impl plan'!E88</f>
        <v>4</v>
      </c>
      <c r="F102" s="568">
        <f>'Impl plan'!F88</f>
        <v>4</v>
      </c>
      <c r="G102" s="568">
        <f>'Impl plan'!G88</f>
        <v>4</v>
      </c>
      <c r="H102" s="568">
        <f>'Impl plan'!H88</f>
        <v>4</v>
      </c>
      <c r="I102" s="568">
        <f>'Impl plan'!I88</f>
        <v>4</v>
      </c>
      <c r="J102" s="652">
        <f>'Impl plan'!J88</f>
        <v>4</v>
      </c>
      <c r="K102" s="518">
        <f>'Unit Cost'!G781</f>
        <v>174.21875</v>
      </c>
      <c r="L102" s="519">
        <v>0.05</v>
      </c>
      <c r="M102" s="493">
        <f t="shared" si="118"/>
        <v>696.875</v>
      </c>
      <c r="N102" s="493">
        <f t="shared" si="119"/>
        <v>731.71875</v>
      </c>
      <c r="O102" s="493">
        <f t="shared" si="120"/>
        <v>768.3046875</v>
      </c>
      <c r="P102" s="493">
        <f t="shared" si="121"/>
        <v>806.71992187500007</v>
      </c>
      <c r="Q102" s="493">
        <f t="shared" si="122"/>
        <v>847.05591796875012</v>
      </c>
      <c r="R102" s="493">
        <f t="shared" si="122"/>
        <v>889.40871386718777</v>
      </c>
      <c r="S102" s="358">
        <f t="shared" si="123"/>
        <v>4740.0829912109384</v>
      </c>
    </row>
    <row r="103" spans="1:19" ht="38.25" customHeight="1">
      <c r="B103" s="19" t="s">
        <v>256</v>
      </c>
      <c r="C103" s="494" t="s">
        <v>92</v>
      </c>
      <c r="D103" s="37" t="s">
        <v>93</v>
      </c>
      <c r="E103" s="37">
        <f>'Impl plan'!E89</f>
        <v>1</v>
      </c>
      <c r="F103" s="568">
        <f>'Impl plan'!F89</f>
        <v>1</v>
      </c>
      <c r="G103" s="568">
        <f>'Impl plan'!G89</f>
        <v>1</v>
      </c>
      <c r="H103" s="568">
        <f>'Impl plan'!H89</f>
        <v>1</v>
      </c>
      <c r="I103" s="568">
        <f>'Impl plan'!I89</f>
        <v>1</v>
      </c>
      <c r="J103" s="652">
        <f>'Impl plan'!J89</f>
        <v>1</v>
      </c>
      <c r="K103" s="518">
        <f>'Unit Cost'!G795</f>
        <v>0</v>
      </c>
      <c r="L103" s="519">
        <v>0.05</v>
      </c>
      <c r="M103" s="493">
        <f t="shared" si="118"/>
        <v>0</v>
      </c>
      <c r="N103" s="493">
        <f t="shared" si="119"/>
        <v>0</v>
      </c>
      <c r="O103" s="493">
        <f t="shared" si="120"/>
        <v>0</v>
      </c>
      <c r="P103" s="493">
        <f t="shared" si="121"/>
        <v>0</v>
      </c>
      <c r="Q103" s="493">
        <f t="shared" si="122"/>
        <v>0</v>
      </c>
      <c r="R103" s="493">
        <f t="shared" si="122"/>
        <v>0</v>
      </c>
      <c r="S103" s="358">
        <f t="shared" si="123"/>
        <v>0</v>
      </c>
    </row>
    <row r="104" spans="1:19" ht="30" customHeight="1">
      <c r="B104" s="546"/>
      <c r="C104" s="532" t="s">
        <v>360</v>
      </c>
      <c r="D104" s="44"/>
      <c r="E104" s="44"/>
      <c r="F104" s="44"/>
      <c r="G104" s="44"/>
      <c r="H104" s="44"/>
      <c r="I104" s="44"/>
      <c r="J104" s="44"/>
      <c r="K104" s="362"/>
      <c r="L104" s="533"/>
      <c r="M104" s="362">
        <f t="shared" ref="M104:R104" si="124">SUM(M100:M103)</f>
        <v>696.875</v>
      </c>
      <c r="N104" s="362">
        <f t="shared" si="124"/>
        <v>43574.015625</v>
      </c>
      <c r="O104" s="362">
        <f t="shared" si="124"/>
        <v>768.3046875</v>
      </c>
      <c r="P104" s="362">
        <f t="shared" si="124"/>
        <v>806.71992187500007</v>
      </c>
      <c r="Q104" s="362">
        <f t="shared" si="124"/>
        <v>847.05591796875012</v>
      </c>
      <c r="R104" s="362">
        <f t="shared" si="124"/>
        <v>889.40871386718777</v>
      </c>
      <c r="S104" s="362">
        <f>SUM(M104:R104)</f>
        <v>47582.37986621094</v>
      </c>
    </row>
    <row r="105" spans="1:19" ht="23.25" customHeight="1">
      <c r="B105" s="817" t="s">
        <v>1154</v>
      </c>
      <c r="C105" s="817"/>
      <c r="D105" s="817"/>
      <c r="E105" s="817"/>
      <c r="F105" s="817"/>
      <c r="G105" s="817"/>
      <c r="H105" s="817"/>
      <c r="I105" s="817"/>
      <c r="J105" s="817"/>
      <c r="K105" s="817"/>
      <c r="L105" s="817"/>
      <c r="M105" s="817"/>
      <c r="N105" s="817"/>
      <c r="O105" s="817"/>
      <c r="P105" s="817"/>
      <c r="Q105" s="817"/>
      <c r="R105" s="817"/>
      <c r="S105" s="817"/>
    </row>
    <row r="106" spans="1:19" s="563" customFormat="1" ht="32.25" customHeight="1">
      <c r="A106" s="40"/>
      <c r="B106" s="19" t="s">
        <v>257</v>
      </c>
      <c r="C106" s="15" t="s">
        <v>95</v>
      </c>
      <c r="D106" s="39"/>
      <c r="E106" s="39"/>
      <c r="F106" s="39"/>
      <c r="G106" s="36"/>
      <c r="H106" s="39"/>
      <c r="I106" s="39"/>
      <c r="J106" s="646"/>
      <c r="K106" s="358"/>
      <c r="L106" s="517"/>
      <c r="M106" s="358">
        <f t="shared" ref="M106:R106" si="125">SUM(M107:M111)</f>
        <v>102867.48497596153</v>
      </c>
      <c r="N106" s="358">
        <f t="shared" si="125"/>
        <v>793669.06234975962</v>
      </c>
      <c r="O106" s="358">
        <f t="shared" si="125"/>
        <v>93023.765467247606</v>
      </c>
      <c r="P106" s="358">
        <f t="shared" si="125"/>
        <v>97674.953740609984</v>
      </c>
      <c r="Q106" s="358">
        <f t="shared" si="125"/>
        <v>102558.7014276405</v>
      </c>
      <c r="R106" s="358">
        <f t="shared" si="125"/>
        <v>107686.63649902253</v>
      </c>
      <c r="S106" s="358">
        <f>SUM(M106:R106)</f>
        <v>1297480.6044602417</v>
      </c>
    </row>
    <row r="107" spans="1:19" ht="30" customHeight="1">
      <c r="B107" s="23" t="s">
        <v>258</v>
      </c>
      <c r="C107" s="494" t="s">
        <v>96</v>
      </c>
      <c r="D107" s="37" t="s">
        <v>97</v>
      </c>
      <c r="E107" s="37">
        <f>'Impl plan'!E92</f>
        <v>1</v>
      </c>
      <c r="F107" s="568">
        <f>'Impl plan'!F92</f>
        <v>0</v>
      </c>
      <c r="G107" s="568">
        <f>'Impl plan'!G92</f>
        <v>0</v>
      </c>
      <c r="H107" s="568">
        <f>'Impl plan'!H92</f>
        <v>0</v>
      </c>
      <c r="I107" s="568">
        <f>'Impl plan'!I92</f>
        <v>0</v>
      </c>
      <c r="J107" s="652">
        <f>'Impl plan'!J92</f>
        <v>0</v>
      </c>
      <c r="K107" s="358">
        <f>'Unit Cost'!G810</f>
        <v>18492.1875</v>
      </c>
      <c r="L107" s="517">
        <v>0.05</v>
      </c>
      <c r="M107" s="493">
        <f t="shared" ref="M107:M109" si="126">E107*$K107*M$10</f>
        <v>18492.1875</v>
      </c>
      <c r="N107" s="493">
        <f t="shared" ref="N107:N111" si="127">F107*$K107*N$10</f>
        <v>0</v>
      </c>
      <c r="O107" s="493">
        <f t="shared" ref="O107:O111" si="128">G107*$K107*O$10</f>
        <v>0</v>
      </c>
      <c r="P107" s="493">
        <f t="shared" ref="P107:P111" si="129">H107*$K107*P$10</f>
        <v>0</v>
      </c>
      <c r="Q107" s="493">
        <f t="shared" ref="Q107:R111" si="130">I107*$K107*Q$10</f>
        <v>0</v>
      </c>
      <c r="R107" s="493">
        <f t="shared" si="130"/>
        <v>0</v>
      </c>
      <c r="S107" s="358">
        <f t="shared" ref="S107:S113" si="131">SUM(M107:R107)</f>
        <v>18492.1875</v>
      </c>
    </row>
    <row r="108" spans="1:19" ht="22.5" customHeight="1">
      <c r="B108" s="23" t="s">
        <v>259</v>
      </c>
      <c r="C108" s="494" t="s">
        <v>98</v>
      </c>
      <c r="D108" s="37" t="s">
        <v>4</v>
      </c>
      <c r="E108" s="37">
        <f>'Impl plan'!E93</f>
        <v>250</v>
      </c>
      <c r="F108" s="568">
        <f>'Impl plan'!F93</f>
        <v>250</v>
      </c>
      <c r="G108" s="568">
        <f>'Impl plan'!G93</f>
        <v>250</v>
      </c>
      <c r="H108" s="568">
        <f>'Impl plan'!H93</f>
        <v>250</v>
      </c>
      <c r="I108" s="568">
        <f>'Impl plan'!I93</f>
        <v>250</v>
      </c>
      <c r="J108" s="652">
        <f>'Impl plan'!J93</f>
        <v>250</v>
      </c>
      <c r="K108" s="358">
        <f>'Unit Cost'!G828</f>
        <v>146.38118990384615</v>
      </c>
      <c r="L108" s="517">
        <v>0.05</v>
      </c>
      <c r="M108" s="493">
        <f t="shared" si="126"/>
        <v>36595.297475961539</v>
      </c>
      <c r="N108" s="493">
        <f t="shared" si="127"/>
        <v>38425.062349759617</v>
      </c>
      <c r="O108" s="493">
        <f t="shared" si="128"/>
        <v>40346.315467247601</v>
      </c>
      <c r="P108" s="493">
        <f t="shared" si="129"/>
        <v>42363.631240609982</v>
      </c>
      <c r="Q108" s="493">
        <f t="shared" si="130"/>
        <v>44481.812802640481</v>
      </c>
      <c r="R108" s="493">
        <f t="shared" si="130"/>
        <v>46705.903442772513</v>
      </c>
      <c r="S108" s="358">
        <f t="shared" si="131"/>
        <v>248918.02277899173</v>
      </c>
    </row>
    <row r="109" spans="1:19" ht="31.5" customHeight="1">
      <c r="B109" s="23" t="s">
        <v>260</v>
      </c>
      <c r="C109" s="494" t="s">
        <v>1147</v>
      </c>
      <c r="D109" s="37" t="s">
        <v>294</v>
      </c>
      <c r="E109" s="37">
        <f>'Impl plan'!E94</f>
        <v>0</v>
      </c>
      <c r="F109" s="568">
        <f>'Impl plan'!F94</f>
        <v>64</v>
      </c>
      <c r="G109" s="568">
        <f>'Impl plan'!G94</f>
        <v>0</v>
      </c>
      <c r="H109" s="568">
        <f>'Impl plan'!H94</f>
        <v>0</v>
      </c>
      <c r="I109" s="568">
        <f>'Impl plan'!I94</f>
        <v>0</v>
      </c>
      <c r="J109" s="652">
        <f>'Impl plan'!J94</f>
        <v>0</v>
      </c>
      <c r="K109" s="358">
        <f>'Unit Cost'!G840</f>
        <v>10492.1875</v>
      </c>
      <c r="L109" s="517">
        <v>0.05</v>
      </c>
      <c r="M109" s="493">
        <f t="shared" si="126"/>
        <v>0</v>
      </c>
      <c r="N109" s="493">
        <f t="shared" si="127"/>
        <v>705075</v>
      </c>
      <c r="O109" s="493">
        <f t="shared" si="128"/>
        <v>0</v>
      </c>
      <c r="P109" s="493">
        <f t="shared" si="129"/>
        <v>0</v>
      </c>
      <c r="Q109" s="493">
        <f t="shared" si="130"/>
        <v>0</v>
      </c>
      <c r="R109" s="493">
        <f t="shared" si="130"/>
        <v>0</v>
      </c>
      <c r="S109" s="358">
        <f t="shared" si="131"/>
        <v>705075</v>
      </c>
    </row>
    <row r="110" spans="1:19" ht="21.75" customHeight="1">
      <c r="B110" s="23" t="s">
        <v>261</v>
      </c>
      <c r="C110" s="642" t="s">
        <v>297</v>
      </c>
      <c r="D110" s="37" t="s">
        <v>4</v>
      </c>
      <c r="E110" s="37">
        <f>'Impl plan'!E95</f>
        <v>3940</v>
      </c>
      <c r="F110" s="568">
        <f>'Impl plan'!F95</f>
        <v>4021</v>
      </c>
      <c r="G110" s="568">
        <f>'Impl plan'!G95</f>
        <v>4108</v>
      </c>
      <c r="H110" s="568">
        <f>'Impl plan'!H95</f>
        <v>4205</v>
      </c>
      <c r="I110" s="568">
        <f>'Impl plan'!I95</f>
        <v>4313</v>
      </c>
      <c r="J110" s="652">
        <f>'Impl plan'!J95</f>
        <v>4313</v>
      </c>
      <c r="K110" s="518">
        <f>'Unit Cost'!G847</f>
        <v>0</v>
      </c>
      <c r="L110" s="519">
        <v>0.05</v>
      </c>
      <c r="M110" s="493">
        <f>E110*$K110*M$10</f>
        <v>0</v>
      </c>
      <c r="N110" s="493">
        <f t="shared" si="127"/>
        <v>0</v>
      </c>
      <c r="O110" s="493">
        <f t="shared" si="128"/>
        <v>0</v>
      </c>
      <c r="P110" s="493">
        <f t="shared" si="129"/>
        <v>0</v>
      </c>
      <c r="Q110" s="493">
        <f t="shared" si="130"/>
        <v>0</v>
      </c>
      <c r="R110" s="493">
        <f t="shared" si="130"/>
        <v>0</v>
      </c>
      <c r="S110" s="358">
        <f t="shared" si="131"/>
        <v>0</v>
      </c>
    </row>
    <row r="111" spans="1:19" ht="30" customHeight="1">
      <c r="B111" s="23" t="s">
        <v>1133</v>
      </c>
      <c r="C111" s="642" t="s">
        <v>1144</v>
      </c>
      <c r="D111" s="632" t="s">
        <v>4</v>
      </c>
      <c r="E111" s="632">
        <f>'Impl plan'!E96</f>
        <v>2389</v>
      </c>
      <c r="F111" s="632">
        <f>'Impl plan'!F96</f>
        <v>2389</v>
      </c>
      <c r="G111" s="632">
        <f>'Impl plan'!G96</f>
        <v>2389</v>
      </c>
      <c r="H111" s="632">
        <f>'Impl plan'!H96</f>
        <v>2389</v>
      </c>
      <c r="I111" s="632">
        <f>'Impl plan'!I96</f>
        <v>2389</v>
      </c>
      <c r="J111" s="652">
        <f>'Impl plan'!J96</f>
        <v>2389</v>
      </c>
      <c r="K111" s="518">
        <f>'Unit Cost'!G852</f>
        <v>20</v>
      </c>
      <c r="L111" s="519">
        <v>0.05</v>
      </c>
      <c r="M111" s="493">
        <f>E111*$K111*M$10</f>
        <v>47780</v>
      </c>
      <c r="N111" s="493">
        <f t="shared" si="127"/>
        <v>50169</v>
      </c>
      <c r="O111" s="493">
        <f t="shared" si="128"/>
        <v>52677.450000000004</v>
      </c>
      <c r="P111" s="493">
        <f t="shared" si="129"/>
        <v>55311.322500000009</v>
      </c>
      <c r="Q111" s="493">
        <f t="shared" si="130"/>
        <v>58076.888625000014</v>
      </c>
      <c r="R111" s="493">
        <f t="shared" si="130"/>
        <v>60980.733056250014</v>
      </c>
      <c r="S111" s="358">
        <f t="shared" si="131"/>
        <v>324995.39418125007</v>
      </c>
    </row>
    <row r="112" spans="1:19" s="563" customFormat="1" ht="44.25" customHeight="1">
      <c r="A112" s="40"/>
      <c r="B112" s="15" t="s">
        <v>262</v>
      </c>
      <c r="C112" s="15" t="s">
        <v>100</v>
      </c>
      <c r="D112" s="39"/>
      <c r="E112" s="39"/>
      <c r="F112" s="39"/>
      <c r="G112" s="36"/>
      <c r="H112" s="39"/>
      <c r="I112" s="39"/>
      <c r="J112" s="646"/>
      <c r="K112" s="358"/>
      <c r="L112" s="517"/>
      <c r="M112" s="358">
        <f t="shared" ref="M112:R112" si="132">SUM(M113:M114)</f>
        <v>81058.11298076922</v>
      </c>
      <c r="N112" s="358">
        <f t="shared" si="132"/>
        <v>85111.018629807688</v>
      </c>
      <c r="O112" s="358">
        <f t="shared" si="132"/>
        <v>79241.606785562777</v>
      </c>
      <c r="P112" s="358">
        <f t="shared" si="132"/>
        <v>83203.687124840915</v>
      </c>
      <c r="Q112" s="358">
        <f t="shared" si="132"/>
        <v>87363.87148108297</v>
      </c>
      <c r="R112" s="358">
        <f t="shared" si="132"/>
        <v>91732.065055137122</v>
      </c>
      <c r="S112" s="358">
        <f t="shared" si="131"/>
        <v>507710.36205720075</v>
      </c>
    </row>
    <row r="113" spans="2:19" ht="22.5" customHeight="1">
      <c r="B113" s="634" t="s">
        <v>263</v>
      </c>
      <c r="C113" s="634" t="s">
        <v>101</v>
      </c>
      <c r="D113" s="635" t="s">
        <v>4</v>
      </c>
      <c r="E113" s="635">
        <f>'Impl plan'!E98</f>
        <v>200</v>
      </c>
      <c r="F113" s="635">
        <f>'Impl plan'!F98</f>
        <v>200</v>
      </c>
      <c r="G113" s="635">
        <f>'Impl plan'!G98</f>
        <v>200</v>
      </c>
      <c r="H113" s="635">
        <f>'Impl plan'!H98</f>
        <v>200</v>
      </c>
      <c r="I113" s="635">
        <f>'Impl plan'!I98</f>
        <v>200</v>
      </c>
      <c r="J113" s="652">
        <f>'Impl plan'!J98</f>
        <v>200</v>
      </c>
      <c r="K113" s="518">
        <f>'Unit Cost'!G870</f>
        <v>146.11868990384613</v>
      </c>
      <c r="L113" s="519">
        <v>0.05</v>
      </c>
      <c r="M113" s="493">
        <f t="shared" ref="M113:R113" si="133">E113*$K113*M$10</f>
        <v>29223.737980769227</v>
      </c>
      <c r="N113" s="493">
        <f t="shared" si="133"/>
        <v>30684.924879807688</v>
      </c>
      <c r="O113" s="493">
        <f t="shared" si="133"/>
        <v>32219.171123798074</v>
      </c>
      <c r="P113" s="493">
        <f t="shared" si="133"/>
        <v>33830.129679987978</v>
      </c>
      <c r="Q113" s="493">
        <f t="shared" si="133"/>
        <v>35521.636163987379</v>
      </c>
      <c r="R113" s="493">
        <f t="shared" si="133"/>
        <v>37297.717972186751</v>
      </c>
      <c r="S113" s="358">
        <f t="shared" si="131"/>
        <v>198777.3178005371</v>
      </c>
    </row>
    <row r="114" spans="2:19" ht="42.75" customHeight="1">
      <c r="B114" s="634" t="s">
        <v>264</v>
      </c>
      <c r="C114" s="634" t="s">
        <v>265</v>
      </c>
      <c r="D114" s="635"/>
      <c r="E114" s="635"/>
      <c r="F114" s="635"/>
      <c r="G114" s="635"/>
      <c r="H114" s="635"/>
      <c r="I114" s="635"/>
      <c r="J114" s="652"/>
      <c r="K114" s="638"/>
      <c r="L114" s="639"/>
      <c r="M114" s="493">
        <f t="shared" ref="M114:R114" si="134">M115+M116</f>
        <v>51834.374999999993</v>
      </c>
      <c r="N114" s="493">
        <f t="shared" si="134"/>
        <v>54426.093749999993</v>
      </c>
      <c r="O114" s="493">
        <f t="shared" si="134"/>
        <v>47022.435661764706</v>
      </c>
      <c r="P114" s="493">
        <f t="shared" si="134"/>
        <v>49373.557444852944</v>
      </c>
      <c r="Q114" s="493">
        <f t="shared" si="134"/>
        <v>51842.23531709559</v>
      </c>
      <c r="R114" s="493">
        <f t="shared" si="134"/>
        <v>54434.347082950379</v>
      </c>
      <c r="S114" s="493">
        <f>SUM(M114:R114)</f>
        <v>308933.04425666365</v>
      </c>
    </row>
    <row r="115" spans="2:19" ht="29.25" customHeight="1">
      <c r="B115" s="23" t="s">
        <v>642</v>
      </c>
      <c r="C115" s="548" t="s">
        <v>639</v>
      </c>
      <c r="D115" s="549" t="s">
        <v>1064</v>
      </c>
      <c r="E115" s="62">
        <f>'Impl plan'!E100</f>
        <v>1</v>
      </c>
      <c r="F115" s="62">
        <f>'Impl plan'!F100</f>
        <v>1</v>
      </c>
      <c r="G115" s="62">
        <f>'Impl plan'!G100</f>
        <v>0</v>
      </c>
      <c r="H115" s="62">
        <f>'Impl plan'!H100</f>
        <v>0</v>
      </c>
      <c r="I115" s="62">
        <f>'Impl plan'!I100</f>
        <v>0</v>
      </c>
      <c r="J115" s="62">
        <f>'Impl plan'!J100</f>
        <v>0</v>
      </c>
      <c r="K115" s="518">
        <f>'Unit Cost'!G914</f>
        <v>9183.6397058823513</v>
      </c>
      <c r="L115" s="519">
        <v>0.05</v>
      </c>
      <c r="M115" s="493">
        <f>E115*$K115*M$10</f>
        <v>9183.6397058823513</v>
      </c>
      <c r="N115" s="493">
        <f t="shared" ref="N115:N116" si="135">F115*$K115*N$10</f>
        <v>9642.8216911764684</v>
      </c>
      <c r="O115" s="493">
        <f t="shared" ref="O115:O116" si="136">G115*$K115*O$10</f>
        <v>0</v>
      </c>
      <c r="P115" s="493">
        <f t="shared" ref="P115:P116" si="137">H115*$K115*P$10</f>
        <v>0</v>
      </c>
      <c r="Q115" s="493">
        <f t="shared" ref="Q115:R116" si="138">I115*$K115*Q$10</f>
        <v>0</v>
      </c>
      <c r="R115" s="493">
        <f t="shared" si="138"/>
        <v>0</v>
      </c>
      <c r="S115" s="358">
        <f>SUM(M115:R115)</f>
        <v>18826.461397058818</v>
      </c>
    </row>
    <row r="116" spans="2:19" ht="31.5" customHeight="1">
      <c r="B116" s="23" t="s">
        <v>643</v>
      </c>
      <c r="C116" s="548" t="s">
        <v>640</v>
      </c>
      <c r="D116" s="549" t="s">
        <v>641</v>
      </c>
      <c r="E116" s="62">
        <f>'Impl plan'!E101</f>
        <v>18</v>
      </c>
      <c r="F116" s="62">
        <f>'Impl plan'!F101</f>
        <v>18</v>
      </c>
      <c r="G116" s="62">
        <f>'Impl plan'!G101</f>
        <v>18</v>
      </c>
      <c r="H116" s="62">
        <f>'Impl plan'!H101</f>
        <v>18</v>
      </c>
      <c r="I116" s="62">
        <f>'Impl plan'!I101</f>
        <v>18</v>
      </c>
      <c r="J116" s="62">
        <f>'Impl plan'!J101</f>
        <v>18</v>
      </c>
      <c r="K116" s="518">
        <f>'Unit Cost'!G943</f>
        <v>2369.4852941176468</v>
      </c>
      <c r="L116" s="519">
        <v>0.05</v>
      </c>
      <c r="M116" s="493">
        <f t="shared" ref="M116" si="139">E116*$K116*M$10</f>
        <v>42650.735294117643</v>
      </c>
      <c r="N116" s="493">
        <f t="shared" si="135"/>
        <v>44783.272058823524</v>
      </c>
      <c r="O116" s="493">
        <f t="shared" si="136"/>
        <v>47022.435661764706</v>
      </c>
      <c r="P116" s="493">
        <f t="shared" si="137"/>
        <v>49373.557444852944</v>
      </c>
      <c r="Q116" s="493">
        <f t="shared" si="138"/>
        <v>51842.23531709559</v>
      </c>
      <c r="R116" s="493">
        <f t="shared" si="138"/>
        <v>54434.347082950379</v>
      </c>
      <c r="S116" s="358">
        <f>SUM(M116:R116)</f>
        <v>290106.58285960479</v>
      </c>
    </row>
    <row r="117" spans="2:19" ht="35.25" customHeight="1">
      <c r="B117" s="537"/>
      <c r="C117" s="532" t="s">
        <v>361</v>
      </c>
      <c r="D117" s="45"/>
      <c r="E117" s="45"/>
      <c r="F117" s="45"/>
      <c r="G117" s="45"/>
      <c r="H117" s="45"/>
      <c r="I117" s="45"/>
      <c r="J117" s="45"/>
      <c r="K117" s="362"/>
      <c r="L117" s="533"/>
      <c r="M117" s="362">
        <f t="shared" ref="M117:R117" si="140">M106+M112</f>
        <v>183925.59795673075</v>
      </c>
      <c r="N117" s="362">
        <f t="shared" si="140"/>
        <v>878780.08097956725</v>
      </c>
      <c r="O117" s="362">
        <f t="shared" si="140"/>
        <v>172265.3722528104</v>
      </c>
      <c r="P117" s="362">
        <f t="shared" si="140"/>
        <v>180878.6408654509</v>
      </c>
      <c r="Q117" s="362">
        <f t="shared" si="140"/>
        <v>189922.57290872346</v>
      </c>
      <c r="R117" s="362">
        <f t="shared" si="140"/>
        <v>199418.70155415963</v>
      </c>
      <c r="S117" s="362">
        <f>SUM(M117:R117)</f>
        <v>1805190.9665174424</v>
      </c>
    </row>
    <row r="118" spans="2:19" ht="35.25" customHeight="1">
      <c r="B118" s="550"/>
      <c r="C118" s="542" t="s">
        <v>362</v>
      </c>
      <c r="D118" s="50"/>
      <c r="E118" s="50"/>
      <c r="F118" s="50"/>
      <c r="G118" s="50"/>
      <c r="H118" s="50"/>
      <c r="I118" s="50"/>
      <c r="J118" s="50"/>
      <c r="K118" s="364"/>
      <c r="L118" s="543"/>
      <c r="M118" s="364">
        <f t="shared" ref="M118:R118" si="141">M92+M98+M104+M117</f>
        <v>4599014.6729567302</v>
      </c>
      <c r="N118" s="364">
        <f t="shared" si="141"/>
        <v>5970178.6966045666</v>
      </c>
      <c r="O118" s="364">
        <f t="shared" si="141"/>
        <v>5782784.0994403102</v>
      </c>
      <c r="P118" s="364">
        <f t="shared" si="141"/>
        <v>6396934.6265373258</v>
      </c>
      <c r="Q118" s="364">
        <f t="shared" si="141"/>
        <v>6785033.7355104433</v>
      </c>
      <c r="R118" s="364">
        <f t="shared" si="141"/>
        <v>7124285.4222859656</v>
      </c>
      <c r="S118" s="364">
        <f>SUM(M118:R118)</f>
        <v>36658231.253335342</v>
      </c>
    </row>
    <row r="119" spans="2:19" ht="42.75" customHeight="1">
      <c r="B119" s="818" t="s">
        <v>1155</v>
      </c>
      <c r="C119" s="818"/>
      <c r="D119" s="818"/>
      <c r="E119" s="818"/>
      <c r="F119" s="818"/>
      <c r="G119" s="818"/>
      <c r="H119" s="818"/>
      <c r="I119" s="818"/>
      <c r="J119" s="818"/>
      <c r="K119" s="818"/>
      <c r="L119" s="818"/>
      <c r="M119" s="818"/>
      <c r="N119" s="818"/>
      <c r="O119" s="818"/>
      <c r="P119" s="818"/>
      <c r="Q119" s="818"/>
      <c r="R119" s="818"/>
      <c r="S119" s="818"/>
    </row>
    <row r="120" spans="2:19" ht="15" customHeight="1">
      <c r="B120" s="820" t="s">
        <v>0</v>
      </c>
      <c r="C120" s="820" t="s">
        <v>1</v>
      </c>
      <c r="D120" s="820" t="s">
        <v>2</v>
      </c>
      <c r="E120" s="820"/>
      <c r="F120" s="820"/>
      <c r="G120" s="820"/>
      <c r="H120" s="820"/>
      <c r="I120" s="820"/>
      <c r="J120" s="648"/>
      <c r="K120" s="821" t="s">
        <v>344</v>
      </c>
      <c r="L120" s="544"/>
      <c r="M120" s="819"/>
      <c r="N120" s="819"/>
      <c r="O120" s="819"/>
      <c r="P120" s="819"/>
      <c r="Q120" s="819"/>
      <c r="R120" s="649"/>
      <c r="S120" s="819" t="s">
        <v>345</v>
      </c>
    </row>
    <row r="121" spans="2:19" ht="39.75" customHeight="1">
      <c r="B121" s="820"/>
      <c r="C121" s="820"/>
      <c r="D121" s="820"/>
      <c r="E121" s="58">
        <f>E8</f>
        <v>2018</v>
      </c>
      <c r="F121" s="58">
        <f t="shared" ref="F121:J121" si="142">F8</f>
        <v>2019</v>
      </c>
      <c r="G121" s="58">
        <f t="shared" si="142"/>
        <v>2020</v>
      </c>
      <c r="H121" s="58">
        <f t="shared" si="142"/>
        <v>2021</v>
      </c>
      <c r="I121" s="58">
        <f t="shared" si="142"/>
        <v>2022</v>
      </c>
      <c r="J121" s="58">
        <f t="shared" si="142"/>
        <v>2023</v>
      </c>
      <c r="K121" s="821"/>
      <c r="L121" s="544"/>
      <c r="M121" s="58">
        <f>M8</f>
        <v>2018</v>
      </c>
      <c r="N121" s="58">
        <f t="shared" ref="N121:R121" si="143">N8</f>
        <v>2019</v>
      </c>
      <c r="O121" s="58">
        <f t="shared" si="143"/>
        <v>2020</v>
      </c>
      <c r="P121" s="58">
        <f t="shared" si="143"/>
        <v>2021</v>
      </c>
      <c r="Q121" s="58">
        <f t="shared" si="143"/>
        <v>2022</v>
      </c>
      <c r="R121" s="58">
        <f t="shared" si="143"/>
        <v>2023</v>
      </c>
      <c r="S121" s="819"/>
    </row>
    <row r="122" spans="2:19" ht="27.75" customHeight="1">
      <c r="B122" s="817" t="s">
        <v>213</v>
      </c>
      <c r="C122" s="817"/>
      <c r="D122" s="817"/>
      <c r="E122" s="817"/>
      <c r="F122" s="817"/>
      <c r="G122" s="817"/>
      <c r="H122" s="817"/>
      <c r="I122" s="817"/>
      <c r="J122" s="817"/>
      <c r="K122" s="817"/>
      <c r="L122" s="817"/>
      <c r="M122" s="817"/>
      <c r="N122" s="817"/>
      <c r="O122" s="817"/>
      <c r="P122" s="817"/>
      <c r="Q122" s="817"/>
      <c r="R122" s="817"/>
      <c r="S122" s="817"/>
    </row>
    <row r="123" spans="2:19" ht="21.75" customHeight="1">
      <c r="B123" s="15" t="s">
        <v>103</v>
      </c>
      <c r="C123" s="494" t="s">
        <v>313</v>
      </c>
      <c r="D123" s="37" t="s">
        <v>18</v>
      </c>
      <c r="E123" s="37">
        <f>'Impl plan'!E106</f>
        <v>1</v>
      </c>
      <c r="F123" s="568">
        <f>'Impl plan'!F106</f>
        <v>1</v>
      </c>
      <c r="G123" s="568">
        <f>'Impl plan'!G106</f>
        <v>1</v>
      </c>
      <c r="H123" s="568">
        <f>'Impl plan'!H106</f>
        <v>1</v>
      </c>
      <c r="I123" s="568">
        <f>'Impl plan'!I106</f>
        <v>1</v>
      </c>
      <c r="J123" s="652">
        <f>'Impl plan'!J106</f>
        <v>1</v>
      </c>
      <c r="K123" s="358">
        <f>'Unit Cost'!G957</f>
        <v>1582.0363636363636</v>
      </c>
      <c r="L123" s="517">
        <v>0.05</v>
      </c>
      <c r="M123" s="493">
        <f t="shared" ref="M123:M125" si="144">E123*$K123*M$10</f>
        <v>1582.0363636363636</v>
      </c>
      <c r="N123" s="493">
        <f t="shared" ref="N123:N125" si="145">F123*$K123*N$10</f>
        <v>1661.1381818181819</v>
      </c>
      <c r="O123" s="493">
        <f t="shared" ref="O123:O125" si="146">G123*$K123*O$10</f>
        <v>1744.1950909090908</v>
      </c>
      <c r="P123" s="493">
        <f t="shared" ref="P123:P125" si="147">H123*$K123*P$10</f>
        <v>1831.4048454545457</v>
      </c>
      <c r="Q123" s="493">
        <f t="shared" ref="Q123:R125" si="148">I123*$K123*Q$10</f>
        <v>1922.9750877272731</v>
      </c>
      <c r="R123" s="493">
        <f t="shared" si="148"/>
        <v>2019.1238421136368</v>
      </c>
      <c r="S123" s="358">
        <f>SUM(M123:R123)</f>
        <v>10760.873411659091</v>
      </c>
    </row>
    <row r="124" spans="2:19" ht="29.25" customHeight="1">
      <c r="B124" s="15" t="s">
        <v>104</v>
      </c>
      <c r="C124" s="494" t="s">
        <v>105</v>
      </c>
      <c r="D124" s="37" t="s">
        <v>18</v>
      </c>
      <c r="E124" s="568">
        <f>'Impl plan'!E107</f>
        <v>4</v>
      </c>
      <c r="F124" s="568">
        <f>'Impl plan'!F107</f>
        <v>4</v>
      </c>
      <c r="G124" s="568">
        <f>'Impl plan'!G107</f>
        <v>4</v>
      </c>
      <c r="H124" s="568">
        <f>'Impl plan'!H107</f>
        <v>4</v>
      </c>
      <c r="I124" s="568">
        <f>'Impl plan'!I107</f>
        <v>4</v>
      </c>
      <c r="J124" s="652">
        <f>'Impl plan'!J107</f>
        <v>4</v>
      </c>
      <c r="K124" s="358">
        <f>'Unit Cost'!G970</f>
        <v>570.53571428571433</v>
      </c>
      <c r="L124" s="517">
        <v>0.05</v>
      </c>
      <c r="M124" s="493">
        <f t="shared" si="144"/>
        <v>2282.1428571428573</v>
      </c>
      <c r="N124" s="493">
        <f t="shared" si="145"/>
        <v>2396.2500000000005</v>
      </c>
      <c r="O124" s="493">
        <f t="shared" si="146"/>
        <v>2516.0625000000005</v>
      </c>
      <c r="P124" s="493">
        <f t="shared" si="147"/>
        <v>2641.8656250000004</v>
      </c>
      <c r="Q124" s="493">
        <f t="shared" si="148"/>
        <v>2773.9589062500008</v>
      </c>
      <c r="R124" s="493">
        <f t="shared" si="148"/>
        <v>2912.6568515625008</v>
      </c>
      <c r="S124" s="358">
        <f t="shared" ref="S124:S125" si="149">SUM(M124:R124)</f>
        <v>15522.936739955359</v>
      </c>
    </row>
    <row r="125" spans="2:19" ht="22.5" customHeight="1">
      <c r="B125" s="15" t="s">
        <v>106</v>
      </c>
      <c r="C125" s="494" t="s">
        <v>312</v>
      </c>
      <c r="D125" s="37" t="s">
        <v>107</v>
      </c>
      <c r="E125" s="568">
        <f>'Impl plan'!E108</f>
        <v>1</v>
      </c>
      <c r="F125" s="568">
        <f>'Impl plan'!F108</f>
        <v>1</v>
      </c>
      <c r="G125" s="568">
        <f>'Impl plan'!G108</f>
        <v>1</v>
      </c>
      <c r="H125" s="568">
        <f>'Impl plan'!H108</f>
        <v>1</v>
      </c>
      <c r="I125" s="568">
        <f>'Impl plan'!I108</f>
        <v>1</v>
      </c>
      <c r="J125" s="652">
        <f>'Impl plan'!J108</f>
        <v>1</v>
      </c>
      <c r="K125" s="358">
        <f>'Unit Cost'!G982</f>
        <v>5062.5</v>
      </c>
      <c r="L125" s="517">
        <v>0.05</v>
      </c>
      <c r="M125" s="493">
        <f t="shared" si="144"/>
        <v>5062.5</v>
      </c>
      <c r="N125" s="493">
        <f t="shared" si="145"/>
        <v>5315.625</v>
      </c>
      <c r="O125" s="493">
        <f t="shared" si="146"/>
        <v>5581.40625</v>
      </c>
      <c r="P125" s="493">
        <f t="shared" si="147"/>
        <v>5860.4765625000009</v>
      </c>
      <c r="Q125" s="493">
        <f t="shared" si="148"/>
        <v>6153.5003906250013</v>
      </c>
      <c r="R125" s="493">
        <f t="shared" si="148"/>
        <v>6461.1754101562519</v>
      </c>
      <c r="S125" s="358">
        <f t="shared" si="149"/>
        <v>34434.683613281253</v>
      </c>
    </row>
    <row r="126" spans="2:19" ht="22.5" customHeight="1">
      <c r="B126" s="532"/>
      <c r="C126" s="551" t="s">
        <v>363</v>
      </c>
      <c r="D126" s="44"/>
      <c r="E126" s="44"/>
      <c r="F126" s="44"/>
      <c r="G126" s="51"/>
      <c r="H126" s="44"/>
      <c r="I126" s="44"/>
      <c r="J126" s="44"/>
      <c r="K126" s="362"/>
      <c r="L126" s="533"/>
      <c r="M126" s="362">
        <f t="shared" ref="M126:R126" si="150">SUM(M123:M125)</f>
        <v>8926.6792207792205</v>
      </c>
      <c r="N126" s="362">
        <f t="shared" si="150"/>
        <v>9373.0131818181835</v>
      </c>
      <c r="O126" s="362">
        <f t="shared" si="150"/>
        <v>9841.663840909092</v>
      </c>
      <c r="P126" s="362">
        <f t="shared" si="150"/>
        <v>10333.747032954547</v>
      </c>
      <c r="Q126" s="362">
        <f t="shared" si="150"/>
        <v>10850.434384602275</v>
      </c>
      <c r="R126" s="362">
        <f t="shared" si="150"/>
        <v>11392.956103832388</v>
      </c>
      <c r="S126" s="362">
        <f>SUM(M126:R126)</f>
        <v>60718.493764895706</v>
      </c>
    </row>
    <row r="127" spans="2:19" ht="30" customHeight="1">
      <c r="B127" s="817" t="s">
        <v>266</v>
      </c>
      <c r="C127" s="817"/>
      <c r="D127" s="817"/>
      <c r="E127" s="817"/>
      <c r="F127" s="817"/>
      <c r="G127" s="817"/>
      <c r="H127" s="817"/>
      <c r="I127" s="817"/>
      <c r="J127" s="817"/>
      <c r="K127" s="817"/>
      <c r="L127" s="817"/>
      <c r="M127" s="817"/>
      <c r="N127" s="817"/>
      <c r="O127" s="817"/>
      <c r="P127" s="817"/>
      <c r="Q127" s="817"/>
      <c r="R127" s="817"/>
      <c r="S127" s="817"/>
    </row>
    <row r="128" spans="2:19" ht="30" customHeight="1">
      <c r="B128" s="15" t="s">
        <v>108</v>
      </c>
      <c r="C128" s="494" t="s">
        <v>1072</v>
      </c>
      <c r="D128" s="37"/>
      <c r="E128" s="37"/>
      <c r="F128" s="37"/>
      <c r="G128" s="27"/>
      <c r="H128" s="37"/>
      <c r="I128" s="37"/>
      <c r="J128" s="647"/>
      <c r="K128" s="358"/>
      <c r="L128" s="517"/>
      <c r="M128" s="358">
        <f t="shared" ref="M128:R128" si="151">SUM(M129:M130)</f>
        <v>8760</v>
      </c>
      <c r="N128" s="358">
        <f t="shared" si="151"/>
        <v>9198</v>
      </c>
      <c r="O128" s="358">
        <f t="shared" si="151"/>
        <v>9657.9</v>
      </c>
      <c r="P128" s="358">
        <f t="shared" si="151"/>
        <v>10140.795000000002</v>
      </c>
      <c r="Q128" s="358">
        <f t="shared" si="151"/>
        <v>10647.834750000002</v>
      </c>
      <c r="R128" s="358">
        <f t="shared" si="151"/>
        <v>11180.226487500004</v>
      </c>
      <c r="S128" s="358">
        <f>SUM(M128:R128)</f>
        <v>59584.756237500013</v>
      </c>
    </row>
    <row r="129" spans="2:19" ht="30" customHeight="1">
      <c r="B129" s="23" t="s">
        <v>109</v>
      </c>
      <c r="C129" s="494" t="s">
        <v>110</v>
      </c>
      <c r="D129" s="37" t="s">
        <v>62</v>
      </c>
      <c r="E129" s="37">
        <f>'Impl plan'!E111</f>
        <v>0</v>
      </c>
      <c r="F129" s="568">
        <f>'Impl plan'!F111</f>
        <v>0</v>
      </c>
      <c r="G129" s="568">
        <f>'Impl plan'!G111</f>
        <v>0</v>
      </c>
      <c r="H129" s="568">
        <f>'Impl plan'!H111</f>
        <v>0</v>
      </c>
      <c r="I129" s="568">
        <f>'Impl plan'!I111</f>
        <v>0</v>
      </c>
      <c r="J129" s="652">
        <f>'Impl plan'!J111</f>
        <v>0</v>
      </c>
      <c r="K129" s="358">
        <f>'Unit Cost'!G1016</f>
        <v>22902.256433823535</v>
      </c>
      <c r="L129" s="517">
        <v>0.05</v>
      </c>
      <c r="M129" s="493">
        <f t="shared" ref="M129:M130" si="152">E129*$K129*M$10</f>
        <v>0</v>
      </c>
      <c r="N129" s="493">
        <f t="shared" ref="N129:N130" si="153">F129*$K129*N$10</f>
        <v>0</v>
      </c>
      <c r="O129" s="493">
        <f t="shared" ref="O129:O130" si="154">G129*$K129*O$10</f>
        <v>0</v>
      </c>
      <c r="P129" s="493">
        <f t="shared" ref="P129:P130" si="155">H129*$K129*P$10</f>
        <v>0</v>
      </c>
      <c r="Q129" s="493">
        <f t="shared" ref="Q129:R130" si="156">I129*$K129*Q$10</f>
        <v>0</v>
      </c>
      <c r="R129" s="493">
        <f t="shared" si="156"/>
        <v>0</v>
      </c>
      <c r="S129" s="358">
        <f t="shared" ref="S129:S132" si="157">SUM(M129:R129)</f>
        <v>0</v>
      </c>
    </row>
    <row r="130" spans="2:19" ht="28.5" customHeight="1">
      <c r="B130" s="23" t="s">
        <v>111</v>
      </c>
      <c r="C130" s="494" t="s">
        <v>112</v>
      </c>
      <c r="D130" s="37" t="s">
        <v>61</v>
      </c>
      <c r="E130" s="37">
        <f>'Impl plan'!E112</f>
        <v>12</v>
      </c>
      <c r="F130" s="568">
        <f>'Impl plan'!F112</f>
        <v>12</v>
      </c>
      <c r="G130" s="568">
        <f>'Impl plan'!G112</f>
        <v>12</v>
      </c>
      <c r="H130" s="568">
        <f>'Impl plan'!H112</f>
        <v>12</v>
      </c>
      <c r="I130" s="568">
        <f>'Impl plan'!I112</f>
        <v>12</v>
      </c>
      <c r="J130" s="652">
        <f>'Impl plan'!J112</f>
        <v>12</v>
      </c>
      <c r="K130" s="358">
        <f>'Unit Cost'!G1031</f>
        <v>730</v>
      </c>
      <c r="L130" s="517">
        <v>0.05</v>
      </c>
      <c r="M130" s="493">
        <f t="shared" si="152"/>
        <v>8760</v>
      </c>
      <c r="N130" s="493">
        <f t="shared" si="153"/>
        <v>9198</v>
      </c>
      <c r="O130" s="493">
        <f t="shared" si="154"/>
        <v>9657.9</v>
      </c>
      <c r="P130" s="493">
        <f t="shared" si="155"/>
        <v>10140.795000000002</v>
      </c>
      <c r="Q130" s="493">
        <f t="shared" si="156"/>
        <v>10647.834750000002</v>
      </c>
      <c r="R130" s="493">
        <f t="shared" si="156"/>
        <v>11180.226487500004</v>
      </c>
      <c r="S130" s="358">
        <f t="shared" si="157"/>
        <v>59584.756237500013</v>
      </c>
    </row>
    <row r="131" spans="2:19" ht="32.25" customHeight="1">
      <c r="B131" s="15" t="s">
        <v>113</v>
      </c>
      <c r="C131" s="494" t="s">
        <v>304</v>
      </c>
      <c r="D131" s="37" t="s">
        <v>114</v>
      </c>
      <c r="E131" s="37">
        <f>'Impl plan'!E113</f>
        <v>12</v>
      </c>
      <c r="F131" s="568">
        <f>'Impl plan'!F113</f>
        <v>12</v>
      </c>
      <c r="G131" s="568">
        <f>'Impl plan'!G113</f>
        <v>12</v>
      </c>
      <c r="H131" s="568">
        <f>'Impl plan'!H113</f>
        <v>12</v>
      </c>
      <c r="I131" s="568">
        <f>'Impl plan'!I113</f>
        <v>12</v>
      </c>
      <c r="J131" s="652">
        <f>'Impl plan'!J113</f>
        <v>12</v>
      </c>
      <c r="K131" s="358">
        <f>'Unit Cost'!G1042</f>
        <v>10157.142857142857</v>
      </c>
      <c r="L131" s="570">
        <v>7.4999999999999997E-2</v>
      </c>
      <c r="M131" s="493">
        <f t="shared" ref="M131:R131" si="158">E131*$K131*M$9</f>
        <v>121885.71428571429</v>
      </c>
      <c r="N131" s="493">
        <f t="shared" si="158"/>
        <v>131027.14285714286</v>
      </c>
      <c r="O131" s="493">
        <f t="shared" si="158"/>
        <v>140854.17857142855</v>
      </c>
      <c r="P131" s="493">
        <f t="shared" si="158"/>
        <v>151418.2419642857</v>
      </c>
      <c r="Q131" s="493">
        <f t="shared" si="158"/>
        <v>162774.61011160712</v>
      </c>
      <c r="R131" s="493">
        <f t="shared" si="158"/>
        <v>174982.70586997768</v>
      </c>
      <c r="S131" s="358">
        <f t="shared" si="157"/>
        <v>882942.59366015624</v>
      </c>
    </row>
    <row r="132" spans="2:19" ht="33" customHeight="1">
      <c r="B132" s="15" t="s">
        <v>115</v>
      </c>
      <c r="C132" s="494" t="s">
        <v>1084</v>
      </c>
      <c r="D132" s="37" t="s">
        <v>18</v>
      </c>
      <c r="E132" s="37">
        <f>'Impl plan'!E114</f>
        <v>14</v>
      </c>
      <c r="F132" s="568">
        <f>'Impl plan'!F114</f>
        <v>14</v>
      </c>
      <c r="G132" s="568">
        <f>'Impl plan'!G114</f>
        <v>14</v>
      </c>
      <c r="H132" s="568">
        <f>'Impl plan'!H114</f>
        <v>14</v>
      </c>
      <c r="I132" s="568">
        <f>'Impl plan'!I114</f>
        <v>14</v>
      </c>
      <c r="J132" s="652">
        <f>'Impl plan'!J114</f>
        <v>14</v>
      </c>
      <c r="K132" s="358">
        <f>'Unit Cost'!G1049</f>
        <v>570.53571428571433</v>
      </c>
      <c r="L132" s="517">
        <v>0.05</v>
      </c>
      <c r="M132" s="493">
        <f>E132*$K132*M$10</f>
        <v>7987.5000000000009</v>
      </c>
      <c r="N132" s="493">
        <f t="shared" ref="N132" si="159">F132*$K132*N$10</f>
        <v>8386.8750000000018</v>
      </c>
      <c r="O132" s="493">
        <f t="shared" ref="O132" si="160">G132*$K132*O$10</f>
        <v>8806.2187500000018</v>
      </c>
      <c r="P132" s="493">
        <f t="shared" ref="P132" si="161">H132*$K132*P$10</f>
        <v>9246.5296875000022</v>
      </c>
      <c r="Q132" s="493">
        <f t="shared" ref="Q132:R132" si="162">I132*$K132*Q$10</f>
        <v>9708.8561718750025</v>
      </c>
      <c r="R132" s="493">
        <f t="shared" si="162"/>
        <v>10194.298980468753</v>
      </c>
      <c r="S132" s="358">
        <f t="shared" si="157"/>
        <v>54330.278589843758</v>
      </c>
    </row>
    <row r="133" spans="2:19" ht="26.25" customHeight="1">
      <c r="B133" s="532"/>
      <c r="C133" s="532" t="s">
        <v>364</v>
      </c>
      <c r="D133" s="44"/>
      <c r="E133" s="44"/>
      <c r="F133" s="44"/>
      <c r="G133" s="44"/>
      <c r="H133" s="44"/>
      <c r="I133" s="44"/>
      <c r="J133" s="44"/>
      <c r="K133" s="362"/>
      <c r="L133" s="533"/>
      <c r="M133" s="362">
        <f t="shared" ref="M133:R133" si="163">M128+M131+M132</f>
        <v>138633.21428571429</v>
      </c>
      <c r="N133" s="362">
        <f t="shared" si="163"/>
        <v>148612.01785714284</v>
      </c>
      <c r="O133" s="362">
        <f t="shared" si="163"/>
        <v>159318.29732142854</v>
      </c>
      <c r="P133" s="362">
        <f t="shared" si="163"/>
        <v>170805.56665178572</v>
      </c>
      <c r="Q133" s="362">
        <f t="shared" si="163"/>
        <v>183131.30103348213</v>
      </c>
      <c r="R133" s="362">
        <f t="shared" si="163"/>
        <v>196357.23133794643</v>
      </c>
      <c r="S133" s="362">
        <f>SUM(M133:R133)</f>
        <v>996857.6284874999</v>
      </c>
    </row>
    <row r="134" spans="2:19" ht="24.75" customHeight="1">
      <c r="B134" s="817" t="s">
        <v>1132</v>
      </c>
      <c r="C134" s="817"/>
      <c r="D134" s="817"/>
      <c r="E134" s="817"/>
      <c r="F134" s="817"/>
      <c r="G134" s="817"/>
      <c r="H134" s="817"/>
      <c r="I134" s="817"/>
      <c r="J134" s="817"/>
      <c r="K134" s="817"/>
      <c r="L134" s="817"/>
      <c r="M134" s="817"/>
      <c r="N134" s="817"/>
      <c r="O134" s="817"/>
      <c r="P134" s="817"/>
      <c r="Q134" s="817"/>
      <c r="R134" s="817"/>
      <c r="S134" s="817"/>
    </row>
    <row r="135" spans="2:19" ht="27.6" customHeight="1">
      <c r="B135" s="15" t="s">
        <v>116</v>
      </c>
      <c r="C135" s="494" t="s">
        <v>242</v>
      </c>
      <c r="D135" s="37" t="s">
        <v>18</v>
      </c>
      <c r="E135" s="37">
        <f>'Impl plan'!E116</f>
        <v>2</v>
      </c>
      <c r="F135" s="568">
        <f>'Impl plan'!F116</f>
        <v>2</v>
      </c>
      <c r="G135" s="568">
        <f>'Impl plan'!G116</f>
        <v>2</v>
      </c>
      <c r="H135" s="568">
        <f>'Impl plan'!H116</f>
        <v>2</v>
      </c>
      <c r="I135" s="568">
        <f>'Impl plan'!I116</f>
        <v>2</v>
      </c>
      <c r="J135" s="652">
        <f>'Impl plan'!J116</f>
        <v>2</v>
      </c>
      <c r="K135" s="358">
        <f>'Unit Cost'!G1055</f>
        <v>570.53571428571433</v>
      </c>
      <c r="L135" s="517">
        <v>0.05</v>
      </c>
      <c r="M135" s="493">
        <f t="shared" ref="M135:M138" si="164">E135*$K135*M$10</f>
        <v>1141.0714285714287</v>
      </c>
      <c r="N135" s="493">
        <f t="shared" ref="N135:N138" si="165">F135*$K135*N$10</f>
        <v>1198.1250000000002</v>
      </c>
      <c r="O135" s="493">
        <f t="shared" ref="O135:O138" si="166">G135*$K135*O$10</f>
        <v>1258.0312500000002</v>
      </c>
      <c r="P135" s="493">
        <f t="shared" ref="P135:P138" si="167">H135*$K135*P$10</f>
        <v>1320.9328125000002</v>
      </c>
      <c r="Q135" s="493">
        <f t="shared" ref="Q135:R138" si="168">I135*$K135*Q$10</f>
        <v>1386.9794531250004</v>
      </c>
      <c r="R135" s="493">
        <f t="shared" si="168"/>
        <v>1456.3284257812504</v>
      </c>
      <c r="S135" s="358">
        <f>SUM(M135:R135)</f>
        <v>7761.4683699776797</v>
      </c>
    </row>
    <row r="136" spans="2:19" ht="33" customHeight="1">
      <c r="B136" s="15" t="s">
        <v>117</v>
      </c>
      <c r="C136" s="494" t="s">
        <v>1086</v>
      </c>
      <c r="D136" s="37" t="s">
        <v>18</v>
      </c>
      <c r="E136" s="37">
        <f>'Impl plan'!E117</f>
        <v>1</v>
      </c>
      <c r="F136" s="568">
        <f>'Impl plan'!F117</f>
        <v>1</v>
      </c>
      <c r="G136" s="568">
        <f>'Impl plan'!G117</f>
        <v>1</v>
      </c>
      <c r="H136" s="568">
        <f>'Impl plan'!H117</f>
        <v>1</v>
      </c>
      <c r="I136" s="568">
        <f>'Impl plan'!I117</f>
        <v>1</v>
      </c>
      <c r="J136" s="652">
        <f>'Impl plan'!J117</f>
        <v>1</v>
      </c>
      <c r="K136" s="358">
        <f>'Unit Cost'!G1069</f>
        <v>790.77922077922085</v>
      </c>
      <c r="L136" s="517">
        <v>0.05</v>
      </c>
      <c r="M136" s="493">
        <f t="shared" si="164"/>
        <v>790.77922077922085</v>
      </c>
      <c r="N136" s="493">
        <f t="shared" si="165"/>
        <v>830.31818181818198</v>
      </c>
      <c r="O136" s="493">
        <f t="shared" si="166"/>
        <v>871.83409090909106</v>
      </c>
      <c r="P136" s="493">
        <f t="shared" si="167"/>
        <v>915.42579545454566</v>
      </c>
      <c r="Q136" s="493">
        <f t="shared" si="168"/>
        <v>961.19708522727296</v>
      </c>
      <c r="R136" s="493">
        <f t="shared" si="168"/>
        <v>1009.2569394886367</v>
      </c>
      <c r="S136" s="358">
        <f t="shared" ref="S136:S138" si="169">SUM(M136:R136)</f>
        <v>5378.8113136769489</v>
      </c>
    </row>
    <row r="137" spans="2:19" ht="33.75" customHeight="1">
      <c r="B137" s="15" t="s">
        <v>118</v>
      </c>
      <c r="C137" s="494" t="s">
        <v>119</v>
      </c>
      <c r="D137" s="37" t="s">
        <v>18</v>
      </c>
      <c r="E137" s="37">
        <f>'Impl plan'!E118</f>
        <v>1</v>
      </c>
      <c r="F137" s="568">
        <f>'Impl plan'!F118</f>
        <v>0</v>
      </c>
      <c r="G137" s="568">
        <f>'Impl plan'!G118</f>
        <v>1</v>
      </c>
      <c r="H137" s="568">
        <f>'Impl plan'!H118</f>
        <v>0</v>
      </c>
      <c r="I137" s="568">
        <f>'Impl plan'!I118</f>
        <v>1</v>
      </c>
      <c r="J137" s="652">
        <f>'Impl plan'!J118</f>
        <v>1</v>
      </c>
      <c r="K137" s="358">
        <f>'Unit Cost'!G1088</f>
        <v>0</v>
      </c>
      <c r="L137" s="517">
        <v>0.05</v>
      </c>
      <c r="M137" s="493">
        <f t="shared" si="164"/>
        <v>0</v>
      </c>
      <c r="N137" s="493">
        <f t="shared" si="165"/>
        <v>0</v>
      </c>
      <c r="O137" s="493">
        <f t="shared" si="166"/>
        <v>0</v>
      </c>
      <c r="P137" s="493">
        <f t="shared" si="167"/>
        <v>0</v>
      </c>
      <c r="Q137" s="493">
        <f t="shared" si="168"/>
        <v>0</v>
      </c>
      <c r="R137" s="493">
        <f t="shared" si="168"/>
        <v>0</v>
      </c>
      <c r="S137" s="358">
        <f t="shared" si="169"/>
        <v>0</v>
      </c>
    </row>
    <row r="138" spans="2:19" ht="46.5" customHeight="1">
      <c r="B138" s="15" t="s">
        <v>120</v>
      </c>
      <c r="C138" s="494" t="s">
        <v>121</v>
      </c>
      <c r="D138" s="37" t="s">
        <v>18</v>
      </c>
      <c r="E138" s="37">
        <f>'Impl plan'!E119</f>
        <v>64</v>
      </c>
      <c r="F138" s="568">
        <f>'Impl plan'!F119</f>
        <v>64</v>
      </c>
      <c r="G138" s="568">
        <f>'Impl plan'!G119</f>
        <v>64</v>
      </c>
      <c r="H138" s="568">
        <f>'Impl plan'!H119</f>
        <v>64</v>
      </c>
      <c r="I138" s="568">
        <f>'Impl plan'!I119</f>
        <v>64</v>
      </c>
      <c r="J138" s="652">
        <f>'Impl plan'!J119</f>
        <v>64</v>
      </c>
      <c r="K138" s="358">
        <f>'Unit Cost'!G1110</f>
        <v>1982.25</v>
      </c>
      <c r="L138" s="517">
        <v>0.05</v>
      </c>
      <c r="M138" s="493">
        <f t="shared" si="164"/>
        <v>126864</v>
      </c>
      <c r="N138" s="493">
        <f t="shared" si="165"/>
        <v>133207.20000000001</v>
      </c>
      <c r="O138" s="493">
        <f t="shared" si="166"/>
        <v>139867.56</v>
      </c>
      <c r="P138" s="493">
        <f t="shared" si="167"/>
        <v>146860.93800000002</v>
      </c>
      <c r="Q138" s="493">
        <f t="shared" si="168"/>
        <v>154203.98490000004</v>
      </c>
      <c r="R138" s="493">
        <f t="shared" si="168"/>
        <v>161914.18414500004</v>
      </c>
      <c r="S138" s="358">
        <f t="shared" si="169"/>
        <v>862917.8670450002</v>
      </c>
    </row>
    <row r="139" spans="2:19" ht="23.25" customHeight="1">
      <c r="B139" s="532"/>
      <c r="C139" s="532" t="s">
        <v>365</v>
      </c>
      <c r="D139" s="44"/>
      <c r="E139" s="44"/>
      <c r="F139" s="44"/>
      <c r="G139" s="51"/>
      <c r="H139" s="44"/>
      <c r="I139" s="44"/>
      <c r="J139" s="44"/>
      <c r="K139" s="362"/>
      <c r="L139" s="533"/>
      <c r="M139" s="362">
        <f t="shared" ref="M139:R139" si="170">SUM(M135:M138)</f>
        <v>128795.85064935064</v>
      </c>
      <c r="N139" s="362">
        <f t="shared" si="170"/>
        <v>135235.64318181819</v>
      </c>
      <c r="O139" s="362">
        <f t="shared" si="170"/>
        <v>141997.4253409091</v>
      </c>
      <c r="P139" s="362">
        <f t="shared" si="170"/>
        <v>149097.29660795457</v>
      </c>
      <c r="Q139" s="362">
        <f t="shared" si="170"/>
        <v>156552.16143835231</v>
      </c>
      <c r="R139" s="362">
        <f t="shared" si="170"/>
        <v>164379.76951026992</v>
      </c>
      <c r="S139" s="362">
        <f>SUM(M139:R139)</f>
        <v>876058.14672865486</v>
      </c>
    </row>
    <row r="140" spans="2:19" ht="25.5" customHeight="1">
      <c r="B140" s="817" t="s">
        <v>214</v>
      </c>
      <c r="C140" s="817"/>
      <c r="D140" s="817"/>
      <c r="E140" s="817"/>
      <c r="F140" s="817"/>
      <c r="G140" s="817"/>
      <c r="H140" s="817"/>
      <c r="I140" s="817"/>
      <c r="J140" s="817"/>
      <c r="K140" s="817"/>
      <c r="L140" s="817"/>
      <c r="M140" s="817"/>
      <c r="N140" s="817"/>
      <c r="O140" s="817"/>
      <c r="P140" s="817"/>
      <c r="Q140" s="817"/>
      <c r="R140" s="817"/>
      <c r="S140" s="817"/>
    </row>
    <row r="141" spans="2:19" ht="33.75" customHeight="1">
      <c r="B141" s="634" t="str">
        <f>'Impl plan'!B121</f>
        <v>3.4.1</v>
      </c>
      <c r="C141" s="494" t="s">
        <v>123</v>
      </c>
      <c r="D141" s="37" t="s">
        <v>124</v>
      </c>
      <c r="E141" s="37">
        <f>'Impl plan'!E121</f>
        <v>0</v>
      </c>
      <c r="F141" s="568">
        <f>'Impl plan'!F121</f>
        <v>0</v>
      </c>
      <c r="G141" s="568">
        <f>'Impl plan'!G121</f>
        <v>0</v>
      </c>
      <c r="H141" s="568">
        <f>'Impl plan'!H121</f>
        <v>0</v>
      </c>
      <c r="I141" s="568">
        <f>'Impl plan'!I121</f>
        <v>0</v>
      </c>
      <c r="J141" s="652">
        <f>'Impl plan'!J121</f>
        <v>0</v>
      </c>
      <c r="K141" s="358">
        <f>'Unit Cost'!G1123</f>
        <v>6685.546875</v>
      </c>
      <c r="L141" s="517">
        <v>0.05</v>
      </c>
      <c r="M141" s="493">
        <f t="shared" ref="M141:M146" si="171">E141*$K141*M$10</f>
        <v>0</v>
      </c>
      <c r="N141" s="493">
        <f t="shared" ref="N141:N146" si="172">F141*$K141*N$10</f>
        <v>0</v>
      </c>
      <c r="O141" s="493">
        <f t="shared" ref="O141:O146" si="173">G141*$K141*O$10</f>
        <v>0</v>
      </c>
      <c r="P141" s="493">
        <f t="shared" ref="P141:P146" si="174">H141*$K141*P$10</f>
        <v>0</v>
      </c>
      <c r="Q141" s="493">
        <f t="shared" ref="Q141:R146" si="175">I141*$K141*Q$10</f>
        <v>0</v>
      </c>
      <c r="R141" s="493">
        <f t="shared" si="175"/>
        <v>0</v>
      </c>
      <c r="S141" s="358">
        <f>SUM(M141:R141)</f>
        <v>0</v>
      </c>
    </row>
    <row r="142" spans="2:19" ht="25.5">
      <c r="B142" s="634" t="str">
        <f>'Impl plan'!B122</f>
        <v>3.4.2</v>
      </c>
      <c r="C142" s="494" t="s">
        <v>125</v>
      </c>
      <c r="D142" s="37" t="s">
        <v>126</v>
      </c>
      <c r="E142" s="37">
        <f>'Impl plan'!E122</f>
        <v>10000</v>
      </c>
      <c r="F142" s="568">
        <f>'Impl plan'!F122</f>
        <v>10000</v>
      </c>
      <c r="G142" s="568">
        <f>'Impl plan'!G122</f>
        <v>10000</v>
      </c>
      <c r="H142" s="568">
        <f>'Impl plan'!H122</f>
        <v>10000</v>
      </c>
      <c r="I142" s="568">
        <f>'Impl plan'!I122</f>
        <v>10000</v>
      </c>
      <c r="J142" s="652">
        <f>'Impl plan'!J122</f>
        <v>10000</v>
      </c>
      <c r="K142" s="358">
        <f>'Unit Cost'!G1134</f>
        <v>15.17578125</v>
      </c>
      <c r="L142" s="517">
        <v>0.05</v>
      </c>
      <c r="M142" s="493">
        <f t="shared" si="171"/>
        <v>151757.8125</v>
      </c>
      <c r="N142" s="493">
        <f t="shared" si="172"/>
        <v>159345.703125</v>
      </c>
      <c r="O142" s="493">
        <f t="shared" si="173"/>
        <v>167312.98828125</v>
      </c>
      <c r="P142" s="493">
        <f t="shared" si="174"/>
        <v>175678.63769531253</v>
      </c>
      <c r="Q142" s="493">
        <f t="shared" si="175"/>
        <v>184462.56958007815</v>
      </c>
      <c r="R142" s="493">
        <f t="shared" si="175"/>
        <v>193685.69805908209</v>
      </c>
      <c r="S142" s="358">
        <f t="shared" ref="S142:S146" si="176">SUM(M142:R142)</f>
        <v>1032243.4092407227</v>
      </c>
    </row>
    <row r="143" spans="2:19" ht="25.5">
      <c r="B143" s="634" t="str">
        <f>'Impl plan'!B123</f>
        <v>3.4.3</v>
      </c>
      <c r="C143" s="494" t="s">
        <v>127</v>
      </c>
      <c r="D143" s="37" t="s">
        <v>128</v>
      </c>
      <c r="E143" s="37">
        <f>'Impl plan'!E123</f>
        <v>500</v>
      </c>
      <c r="F143" s="568">
        <f>'Impl plan'!F123</f>
        <v>500</v>
      </c>
      <c r="G143" s="568">
        <f>'Impl plan'!G123</f>
        <v>500</v>
      </c>
      <c r="H143" s="568">
        <f>'Impl plan'!H123</f>
        <v>500</v>
      </c>
      <c r="I143" s="568">
        <f>'Impl plan'!I123</f>
        <v>500</v>
      </c>
      <c r="J143" s="652">
        <f>'Impl plan'!J123</f>
        <v>500</v>
      </c>
      <c r="K143" s="358">
        <f>'Unit Cost'!G1147</f>
        <v>69.847456054687498</v>
      </c>
      <c r="L143" s="517">
        <v>0.05</v>
      </c>
      <c r="M143" s="493">
        <f t="shared" si="171"/>
        <v>34923.72802734375</v>
      </c>
      <c r="N143" s="493">
        <f t="shared" si="172"/>
        <v>36669.914428710938</v>
      </c>
      <c r="O143" s="493">
        <f t="shared" si="173"/>
        <v>38503.410150146483</v>
      </c>
      <c r="P143" s="493">
        <f t="shared" si="174"/>
        <v>40428.580657653816</v>
      </c>
      <c r="Q143" s="493">
        <f t="shared" si="175"/>
        <v>42450.009690536506</v>
      </c>
      <c r="R143" s="493">
        <f t="shared" si="175"/>
        <v>44572.510175063333</v>
      </c>
      <c r="S143" s="358">
        <f t="shared" si="176"/>
        <v>237548.15312945485</v>
      </c>
    </row>
    <row r="144" spans="2:19" ht="32.25" customHeight="1">
      <c r="B144" s="634" t="str">
        <f>'Impl plan'!B124</f>
        <v>3.4.4</v>
      </c>
      <c r="C144" s="494" t="s">
        <v>129</v>
      </c>
      <c r="D144" s="37" t="s">
        <v>128</v>
      </c>
      <c r="E144" s="37">
        <f>'Impl plan'!E124</f>
        <v>6400</v>
      </c>
      <c r="F144" s="568">
        <f>'Impl plan'!F124</f>
        <v>6400</v>
      </c>
      <c r="G144" s="568">
        <f>'Impl plan'!G124</f>
        <v>6400</v>
      </c>
      <c r="H144" s="568">
        <f>'Impl plan'!H124</f>
        <v>6400</v>
      </c>
      <c r="I144" s="568">
        <f>'Impl plan'!I124</f>
        <v>6400</v>
      </c>
      <c r="J144" s="652">
        <f>'Impl plan'!J124</f>
        <v>6400</v>
      </c>
      <c r="K144" s="358">
        <f>'Unit Cost'!G1161</f>
        <v>18.0426708984375</v>
      </c>
      <c r="L144" s="517">
        <v>0.05</v>
      </c>
      <c r="M144" s="493">
        <f t="shared" si="171"/>
        <v>115473.09375</v>
      </c>
      <c r="N144" s="493">
        <f t="shared" si="172"/>
        <v>121246.74843750001</v>
      </c>
      <c r="O144" s="493">
        <f t="shared" si="173"/>
        <v>127309.085859375</v>
      </c>
      <c r="P144" s="493">
        <f t="shared" si="174"/>
        <v>133674.54015234378</v>
      </c>
      <c r="Q144" s="493">
        <f t="shared" si="175"/>
        <v>140358.26715996096</v>
      </c>
      <c r="R144" s="493">
        <f t="shared" si="175"/>
        <v>147376.18051795903</v>
      </c>
      <c r="S144" s="358">
        <f t="shared" si="176"/>
        <v>785437.91587713873</v>
      </c>
    </row>
    <row r="145" spans="1:19" ht="25.5">
      <c r="B145" s="634" t="str">
        <f>'Impl plan'!B125</f>
        <v>3.4.5</v>
      </c>
      <c r="C145" s="494" t="s">
        <v>130</v>
      </c>
      <c r="D145" s="37" t="s">
        <v>128</v>
      </c>
      <c r="E145" s="37">
        <f>'Impl plan'!E125</f>
        <v>45000</v>
      </c>
      <c r="F145" s="568">
        <f>'Impl plan'!F125</f>
        <v>45000</v>
      </c>
      <c r="G145" s="568">
        <f>'Impl plan'!G125</f>
        <v>45000</v>
      </c>
      <c r="H145" s="568">
        <f>'Impl plan'!H125</f>
        <v>45000</v>
      </c>
      <c r="I145" s="568">
        <f>'Impl plan'!I125</f>
        <v>45000</v>
      </c>
      <c r="J145" s="652">
        <f>'Impl plan'!J125</f>
        <v>45000</v>
      </c>
      <c r="K145" s="358">
        <f>'Unit Cost'!G1173</f>
        <v>5.90625</v>
      </c>
      <c r="L145" s="517">
        <v>0.05</v>
      </c>
      <c r="M145" s="493">
        <f t="shared" si="171"/>
        <v>265781.25</v>
      </c>
      <c r="N145" s="493">
        <f t="shared" si="172"/>
        <v>279070.3125</v>
      </c>
      <c r="O145" s="493">
        <f t="shared" si="173"/>
        <v>293023.828125</v>
      </c>
      <c r="P145" s="493">
        <f t="shared" si="174"/>
        <v>307675.01953125006</v>
      </c>
      <c r="Q145" s="493">
        <f t="shared" si="175"/>
        <v>323058.77050781256</v>
      </c>
      <c r="R145" s="493">
        <f t="shared" si="175"/>
        <v>339211.70903320319</v>
      </c>
      <c r="S145" s="358">
        <f t="shared" si="176"/>
        <v>1807820.8896972658</v>
      </c>
    </row>
    <row r="146" spans="1:19" ht="25.5">
      <c r="B146" s="634" t="str">
        <f>'Impl plan'!B126</f>
        <v>3.4.6</v>
      </c>
      <c r="C146" s="494" t="s">
        <v>1073</v>
      </c>
      <c r="D146" s="37" t="s">
        <v>131</v>
      </c>
      <c r="E146" s="37">
        <f>'Impl plan'!E126</f>
        <v>1</v>
      </c>
      <c r="F146" s="568">
        <f>'Impl plan'!F126</f>
        <v>1</v>
      </c>
      <c r="G146" s="568">
        <f>'Impl plan'!G126</f>
        <v>1</v>
      </c>
      <c r="H146" s="568">
        <f>'Impl plan'!H126</f>
        <v>1</v>
      </c>
      <c r="I146" s="568">
        <f>'Impl plan'!I126</f>
        <v>1</v>
      </c>
      <c r="J146" s="652">
        <f>'Impl plan'!J126</f>
        <v>1</v>
      </c>
      <c r="K146" s="358">
        <f>'Unit Cost'!G1203</f>
        <v>198822.51715327305</v>
      </c>
      <c r="L146" s="517">
        <v>0.05</v>
      </c>
      <c r="M146" s="493">
        <f t="shared" si="171"/>
        <v>198822.51715327305</v>
      </c>
      <c r="N146" s="493">
        <f t="shared" si="172"/>
        <v>208763.64301093671</v>
      </c>
      <c r="O146" s="493">
        <f t="shared" si="173"/>
        <v>219201.82516148355</v>
      </c>
      <c r="P146" s="493">
        <f t="shared" si="174"/>
        <v>230161.91641955773</v>
      </c>
      <c r="Q146" s="493">
        <f t="shared" si="175"/>
        <v>241670.01224053564</v>
      </c>
      <c r="R146" s="493">
        <f t="shared" si="175"/>
        <v>253753.51285256245</v>
      </c>
      <c r="S146" s="358">
        <f t="shared" si="176"/>
        <v>1352373.4268383491</v>
      </c>
    </row>
    <row r="147" spans="1:19" ht="30.75" customHeight="1">
      <c r="B147" s="23"/>
      <c r="C147" s="532" t="s">
        <v>366</v>
      </c>
      <c r="D147" s="44"/>
      <c r="E147" s="44"/>
      <c r="F147" s="44"/>
      <c r="G147" s="51"/>
      <c r="H147" s="44"/>
      <c r="I147" s="44"/>
      <c r="J147" s="44"/>
      <c r="K147" s="362"/>
      <c r="L147" s="533"/>
      <c r="M147" s="362">
        <f>SUM(M141:M146)</f>
        <v>766758.40143061685</v>
      </c>
      <c r="N147" s="362">
        <f t="shared" ref="N147:Q147" si="177">SUM(N141:N146)</f>
        <v>805096.32150214759</v>
      </c>
      <c r="O147" s="362">
        <f t="shared" si="177"/>
        <v>845351.13757725502</v>
      </c>
      <c r="P147" s="362">
        <f t="shared" si="177"/>
        <v>887618.69445611793</v>
      </c>
      <c r="Q147" s="362">
        <f t="shared" si="177"/>
        <v>931999.62917892379</v>
      </c>
      <c r="R147" s="362">
        <f t="shared" ref="R147" si="178">SUM(R141:R146)</f>
        <v>978599.61063787015</v>
      </c>
      <c r="S147" s="362">
        <f>SUM(M147:R147)</f>
        <v>5215423.794782931</v>
      </c>
    </row>
    <row r="148" spans="1:19" ht="30" customHeight="1">
      <c r="B148" s="817" t="s">
        <v>1156</v>
      </c>
      <c r="C148" s="817"/>
      <c r="D148" s="817"/>
      <c r="E148" s="817"/>
      <c r="F148" s="817"/>
      <c r="G148" s="817"/>
      <c r="H148" s="817"/>
      <c r="I148" s="817"/>
      <c r="J148" s="817"/>
      <c r="K148" s="817"/>
      <c r="L148" s="817"/>
      <c r="M148" s="817"/>
      <c r="N148" s="817"/>
      <c r="O148" s="817"/>
      <c r="P148" s="817"/>
      <c r="Q148" s="817"/>
      <c r="R148" s="817"/>
      <c r="S148" s="817"/>
    </row>
    <row r="149" spans="1:19" ht="36" customHeight="1">
      <c r="B149" s="15" t="s">
        <v>132</v>
      </c>
      <c r="C149" s="494" t="s">
        <v>133</v>
      </c>
      <c r="D149" s="37" t="s">
        <v>134</v>
      </c>
      <c r="E149" s="37">
        <f>'Impl plan'!E128</f>
        <v>16</v>
      </c>
      <c r="F149" s="568">
        <f>'Impl plan'!F128</f>
        <v>16</v>
      </c>
      <c r="G149" s="568">
        <f>'Impl plan'!G128</f>
        <v>16</v>
      </c>
      <c r="H149" s="568">
        <f>'Impl plan'!H128</f>
        <v>16</v>
      </c>
      <c r="I149" s="568">
        <f>'Impl plan'!I128</f>
        <v>16</v>
      </c>
      <c r="J149" s="652">
        <f>'Impl plan'!J128</f>
        <v>16</v>
      </c>
      <c r="K149" s="358">
        <f>'Unit Cost'!G1215</f>
        <v>5000</v>
      </c>
      <c r="L149" s="517">
        <v>0.05</v>
      </c>
      <c r="M149" s="493">
        <f t="shared" ref="M149:M159" si="179">E149*$K149*M$10</f>
        <v>80000</v>
      </c>
      <c r="N149" s="493">
        <f t="shared" ref="N149:N159" si="180">F149*$K149*N$10</f>
        <v>84000</v>
      </c>
      <c r="O149" s="493">
        <f t="shared" ref="O149:O159" si="181">G149*$K149*O$10</f>
        <v>88200</v>
      </c>
      <c r="P149" s="493">
        <f t="shared" ref="P149:P159" si="182">H149*$K149*P$10</f>
        <v>92610.000000000015</v>
      </c>
      <c r="Q149" s="493">
        <f t="shared" ref="Q149:R159" si="183">I149*$K149*Q$10</f>
        <v>97240.500000000015</v>
      </c>
      <c r="R149" s="493">
        <f t="shared" si="183"/>
        <v>102102.52500000002</v>
      </c>
      <c r="S149" s="358">
        <f>SUM(M149:R149)</f>
        <v>544153.02500000002</v>
      </c>
    </row>
    <row r="150" spans="1:19" ht="32.25" customHeight="1">
      <c r="B150" s="15" t="s">
        <v>135</v>
      </c>
      <c r="C150" s="494" t="s">
        <v>136</v>
      </c>
      <c r="D150" s="37" t="s">
        <v>124</v>
      </c>
      <c r="E150" s="37">
        <f>'Impl plan'!E129</f>
        <v>0</v>
      </c>
      <c r="F150" s="568">
        <f>'Impl plan'!F129</f>
        <v>1</v>
      </c>
      <c r="G150" s="568">
        <f>'Impl plan'!G129</f>
        <v>0</v>
      </c>
      <c r="H150" s="568">
        <f>'Impl plan'!H129</f>
        <v>0</v>
      </c>
      <c r="I150" s="568">
        <f>'Impl plan'!I129</f>
        <v>0</v>
      </c>
      <c r="J150" s="652">
        <f>'Impl plan'!J129</f>
        <v>0</v>
      </c>
      <c r="K150" s="358">
        <f>'Unit Cost'!G1225</f>
        <v>187500</v>
      </c>
      <c r="L150" s="517">
        <v>0.05</v>
      </c>
      <c r="M150" s="493">
        <f t="shared" si="179"/>
        <v>0</v>
      </c>
      <c r="N150" s="493">
        <f t="shared" si="180"/>
        <v>196875</v>
      </c>
      <c r="O150" s="493">
        <f t="shared" si="181"/>
        <v>0</v>
      </c>
      <c r="P150" s="493">
        <f t="shared" si="182"/>
        <v>0</v>
      </c>
      <c r="Q150" s="493">
        <f t="shared" si="183"/>
        <v>0</v>
      </c>
      <c r="R150" s="493">
        <f t="shared" si="183"/>
        <v>0</v>
      </c>
      <c r="S150" s="358">
        <f t="shared" ref="S150:S159" si="184">SUM(M150:R150)</f>
        <v>196875</v>
      </c>
    </row>
    <row r="151" spans="1:19" ht="44.25" customHeight="1">
      <c r="B151" s="15" t="s">
        <v>137</v>
      </c>
      <c r="C151" s="494" t="s">
        <v>227</v>
      </c>
      <c r="D151" s="37" t="s">
        <v>93</v>
      </c>
      <c r="E151" s="37">
        <f>'Impl plan'!E130</f>
        <v>1</v>
      </c>
      <c r="F151" s="568">
        <f>'Impl plan'!F130</f>
        <v>1</v>
      </c>
      <c r="G151" s="568">
        <f>'Impl plan'!G130</f>
        <v>1</v>
      </c>
      <c r="H151" s="568">
        <f>'Impl plan'!H130</f>
        <v>1</v>
      </c>
      <c r="I151" s="568">
        <f>'Impl plan'!I130</f>
        <v>1</v>
      </c>
      <c r="J151" s="652">
        <f>'Impl plan'!J130</f>
        <v>1</v>
      </c>
      <c r="K151" s="358">
        <f>'Unit Cost'!G1236</f>
        <v>13750</v>
      </c>
      <c r="L151" s="517">
        <v>0.05</v>
      </c>
      <c r="M151" s="493">
        <f t="shared" si="179"/>
        <v>13750</v>
      </c>
      <c r="N151" s="493">
        <f t="shared" si="180"/>
        <v>14437.5</v>
      </c>
      <c r="O151" s="493">
        <f t="shared" si="181"/>
        <v>15159.375</v>
      </c>
      <c r="P151" s="493">
        <f t="shared" si="182"/>
        <v>15917.343750000002</v>
      </c>
      <c r="Q151" s="493">
        <f t="shared" si="183"/>
        <v>16713.210937500004</v>
      </c>
      <c r="R151" s="493">
        <f t="shared" si="183"/>
        <v>17548.871484375006</v>
      </c>
      <c r="S151" s="358">
        <f t="shared" si="184"/>
        <v>93526.301171875006</v>
      </c>
    </row>
    <row r="152" spans="1:19" ht="45.75" customHeight="1">
      <c r="B152" s="15" t="s">
        <v>138</v>
      </c>
      <c r="C152" s="494" t="s">
        <v>139</v>
      </c>
      <c r="D152" s="37" t="s">
        <v>93</v>
      </c>
      <c r="E152" s="37">
        <f>'Impl plan'!E131</f>
        <v>1</v>
      </c>
      <c r="F152" s="568">
        <f>'Impl plan'!F131</f>
        <v>1</v>
      </c>
      <c r="G152" s="568">
        <f>'Impl plan'!G131</f>
        <v>1</v>
      </c>
      <c r="H152" s="568">
        <f>'Impl plan'!H131</f>
        <v>1</v>
      </c>
      <c r="I152" s="568">
        <f>'Impl plan'!I131</f>
        <v>1</v>
      </c>
      <c r="J152" s="652">
        <f>'Impl plan'!J131</f>
        <v>1</v>
      </c>
      <c r="K152" s="358">
        <f>'Unit Cost'!G1247</f>
        <v>13750</v>
      </c>
      <c r="L152" s="517">
        <v>0.05</v>
      </c>
      <c r="M152" s="493">
        <f t="shared" si="179"/>
        <v>13750</v>
      </c>
      <c r="N152" s="493">
        <f t="shared" si="180"/>
        <v>14437.5</v>
      </c>
      <c r="O152" s="493">
        <f t="shared" si="181"/>
        <v>15159.375</v>
      </c>
      <c r="P152" s="493">
        <f t="shared" si="182"/>
        <v>15917.343750000002</v>
      </c>
      <c r="Q152" s="493">
        <f t="shared" si="183"/>
        <v>16713.210937500004</v>
      </c>
      <c r="R152" s="493">
        <f t="shared" si="183"/>
        <v>17548.871484375006</v>
      </c>
      <c r="S152" s="358">
        <f t="shared" si="184"/>
        <v>93526.301171875006</v>
      </c>
    </row>
    <row r="153" spans="1:19" ht="50.25" customHeight="1">
      <c r="B153" s="15" t="s">
        <v>140</v>
      </c>
      <c r="C153" s="494" t="s">
        <v>141</v>
      </c>
      <c r="D153" s="37" t="s">
        <v>93</v>
      </c>
      <c r="E153" s="37">
        <f>'Impl plan'!E132</f>
        <v>1</v>
      </c>
      <c r="F153" s="568">
        <f>'Impl plan'!F132</f>
        <v>1</v>
      </c>
      <c r="G153" s="568">
        <f>'Impl plan'!G132</f>
        <v>1</v>
      </c>
      <c r="H153" s="568">
        <f>'Impl plan'!H132</f>
        <v>1</v>
      </c>
      <c r="I153" s="568">
        <f>'Impl plan'!I132</f>
        <v>1</v>
      </c>
      <c r="J153" s="652">
        <f>'Impl plan'!J132</f>
        <v>1</v>
      </c>
      <c r="K153" s="358">
        <f>'Unit Cost'!G1259</f>
        <v>6250</v>
      </c>
      <c r="L153" s="517">
        <v>0.05</v>
      </c>
      <c r="M153" s="493">
        <f t="shared" si="179"/>
        <v>6250</v>
      </c>
      <c r="N153" s="493">
        <f t="shared" si="180"/>
        <v>6562.5</v>
      </c>
      <c r="O153" s="493">
        <f t="shared" si="181"/>
        <v>6890.625</v>
      </c>
      <c r="P153" s="493">
        <f t="shared" si="182"/>
        <v>7235.1562500000009</v>
      </c>
      <c r="Q153" s="493">
        <f t="shared" si="183"/>
        <v>7596.9140625000018</v>
      </c>
      <c r="R153" s="493">
        <f t="shared" si="183"/>
        <v>7976.7597656250018</v>
      </c>
      <c r="S153" s="358">
        <f t="shared" si="184"/>
        <v>42511.955078125</v>
      </c>
    </row>
    <row r="154" spans="1:19" ht="50.25" customHeight="1">
      <c r="B154" s="19" t="s">
        <v>142</v>
      </c>
      <c r="C154" s="494" t="s">
        <v>283</v>
      </c>
      <c r="D154" s="37" t="s">
        <v>93</v>
      </c>
      <c r="E154" s="37">
        <f>'Impl plan'!E133</f>
        <v>1</v>
      </c>
      <c r="F154" s="568">
        <f>'Impl plan'!F133</f>
        <v>1</v>
      </c>
      <c r="G154" s="568">
        <f>'Impl plan'!G133</f>
        <v>1</v>
      </c>
      <c r="H154" s="568">
        <f>'Impl plan'!H133</f>
        <v>1</v>
      </c>
      <c r="I154" s="568">
        <f>'Impl plan'!I133</f>
        <v>1</v>
      </c>
      <c r="J154" s="652">
        <f>'Impl plan'!J133</f>
        <v>1</v>
      </c>
      <c r="K154" s="358">
        <f>'Unit Cost'!G1271</f>
        <v>12500</v>
      </c>
      <c r="L154" s="517">
        <v>0.05</v>
      </c>
      <c r="M154" s="493">
        <f t="shared" si="179"/>
        <v>12500</v>
      </c>
      <c r="N154" s="493">
        <f t="shared" si="180"/>
        <v>13125</v>
      </c>
      <c r="O154" s="493">
        <f t="shared" si="181"/>
        <v>13781.25</v>
      </c>
      <c r="P154" s="493">
        <f t="shared" si="182"/>
        <v>14470.312500000002</v>
      </c>
      <c r="Q154" s="493">
        <f t="shared" si="183"/>
        <v>15193.828125000004</v>
      </c>
      <c r="R154" s="493">
        <f t="shared" si="183"/>
        <v>15953.519531250004</v>
      </c>
      <c r="S154" s="358">
        <f t="shared" si="184"/>
        <v>85023.91015625</v>
      </c>
    </row>
    <row r="155" spans="1:19" ht="63" customHeight="1">
      <c r="A155" s="34"/>
      <c r="B155" s="552" t="s">
        <v>143</v>
      </c>
      <c r="C155" s="371" t="s">
        <v>144</v>
      </c>
      <c r="D155" s="553" t="s">
        <v>145</v>
      </c>
      <c r="E155" s="37">
        <f>'Impl plan'!E134</f>
        <v>0</v>
      </c>
      <c r="F155" s="568">
        <f>'Impl plan'!F134</f>
        <v>1</v>
      </c>
      <c r="G155" s="568">
        <f>'Impl plan'!G134</f>
        <v>0</v>
      </c>
      <c r="H155" s="568">
        <f>'Impl plan'!H134</f>
        <v>0</v>
      </c>
      <c r="I155" s="568">
        <f>'Impl plan'!I134</f>
        <v>0</v>
      </c>
      <c r="J155" s="652">
        <f>'Impl plan'!J134</f>
        <v>0</v>
      </c>
      <c r="K155" s="518">
        <f>'Unit Cost'!G1279</f>
        <v>1625</v>
      </c>
      <c r="L155" s="519">
        <v>0.05</v>
      </c>
      <c r="M155" s="493">
        <f t="shared" si="179"/>
        <v>0</v>
      </c>
      <c r="N155" s="493">
        <f t="shared" si="180"/>
        <v>1706.25</v>
      </c>
      <c r="O155" s="493">
        <f t="shared" si="181"/>
        <v>0</v>
      </c>
      <c r="P155" s="493">
        <f t="shared" si="182"/>
        <v>0</v>
      </c>
      <c r="Q155" s="493">
        <f t="shared" si="183"/>
        <v>0</v>
      </c>
      <c r="R155" s="493">
        <f t="shared" si="183"/>
        <v>0</v>
      </c>
      <c r="S155" s="358">
        <f t="shared" si="184"/>
        <v>1706.25</v>
      </c>
    </row>
    <row r="156" spans="1:19" ht="49.5" customHeight="1">
      <c r="A156" s="34"/>
      <c r="B156" s="552" t="s">
        <v>146</v>
      </c>
      <c r="C156" s="371" t="s">
        <v>147</v>
      </c>
      <c r="D156" s="553" t="s">
        <v>145</v>
      </c>
      <c r="E156" s="37">
        <f>'Impl plan'!E135</f>
        <v>0</v>
      </c>
      <c r="F156" s="568">
        <f>'Impl plan'!F135</f>
        <v>1</v>
      </c>
      <c r="G156" s="568">
        <f>'Impl plan'!G135</f>
        <v>0</v>
      </c>
      <c r="H156" s="568">
        <f>'Impl plan'!H135</f>
        <v>0</v>
      </c>
      <c r="I156" s="568">
        <f>'Impl plan'!I135</f>
        <v>0</v>
      </c>
      <c r="J156" s="652">
        <f>'Impl plan'!J135</f>
        <v>0</v>
      </c>
      <c r="K156" s="518">
        <f>'Unit Cost'!G1287</f>
        <v>1625</v>
      </c>
      <c r="L156" s="519">
        <v>0.05</v>
      </c>
      <c r="M156" s="493">
        <f t="shared" si="179"/>
        <v>0</v>
      </c>
      <c r="N156" s="493">
        <f t="shared" si="180"/>
        <v>1706.25</v>
      </c>
      <c r="O156" s="493">
        <f t="shared" si="181"/>
        <v>0</v>
      </c>
      <c r="P156" s="493">
        <f t="shared" si="182"/>
        <v>0</v>
      </c>
      <c r="Q156" s="493">
        <f t="shared" si="183"/>
        <v>0</v>
      </c>
      <c r="R156" s="493">
        <f t="shared" si="183"/>
        <v>0</v>
      </c>
      <c r="S156" s="358">
        <f t="shared" si="184"/>
        <v>1706.25</v>
      </c>
    </row>
    <row r="157" spans="1:19" ht="35.25" customHeight="1">
      <c r="A157" s="34"/>
      <c r="B157" s="552" t="s">
        <v>148</v>
      </c>
      <c r="C157" s="371" t="s">
        <v>149</v>
      </c>
      <c r="D157" s="553" t="s">
        <v>150</v>
      </c>
      <c r="E157" s="37">
        <f>'Impl plan'!E136</f>
        <v>10</v>
      </c>
      <c r="F157" s="568">
        <f>'Impl plan'!F136</f>
        <v>10</v>
      </c>
      <c r="G157" s="568">
        <f>'Impl plan'!G136</f>
        <v>10</v>
      </c>
      <c r="H157" s="568">
        <f>'Impl plan'!H136</f>
        <v>10</v>
      </c>
      <c r="I157" s="568">
        <f>'Impl plan'!I136</f>
        <v>10</v>
      </c>
      <c r="J157" s="652">
        <f>'Impl plan'!J136</f>
        <v>10</v>
      </c>
      <c r="K157" s="518">
        <f>'Unit Cost'!G1295</f>
        <v>2437.5</v>
      </c>
      <c r="L157" s="519">
        <v>0.05</v>
      </c>
      <c r="M157" s="493">
        <f t="shared" si="179"/>
        <v>24375</v>
      </c>
      <c r="N157" s="493">
        <f t="shared" si="180"/>
        <v>25593.75</v>
      </c>
      <c r="O157" s="493">
        <f t="shared" si="181"/>
        <v>26873.4375</v>
      </c>
      <c r="P157" s="493">
        <f t="shared" si="182"/>
        <v>28217.109375000004</v>
      </c>
      <c r="Q157" s="493">
        <f t="shared" si="183"/>
        <v>29627.964843750007</v>
      </c>
      <c r="R157" s="493">
        <f t="shared" si="183"/>
        <v>31109.363085937508</v>
      </c>
      <c r="S157" s="358">
        <f t="shared" si="184"/>
        <v>165796.62480468751</v>
      </c>
    </row>
    <row r="158" spans="1:19" ht="49.5" customHeight="1">
      <c r="A158" s="34"/>
      <c r="B158" s="552" t="s">
        <v>151</v>
      </c>
      <c r="C158" s="371" t="s">
        <v>152</v>
      </c>
      <c r="D158" s="371" t="s">
        <v>153</v>
      </c>
      <c r="E158" s="37">
        <f>'Impl plan'!E137</f>
        <v>4</v>
      </c>
      <c r="F158" s="568">
        <f>'Impl plan'!F137</f>
        <v>4</v>
      </c>
      <c r="G158" s="568">
        <f>'Impl plan'!G137</f>
        <v>4</v>
      </c>
      <c r="H158" s="568">
        <f>'Impl plan'!H137</f>
        <v>4</v>
      </c>
      <c r="I158" s="568">
        <f>'Impl plan'!I137</f>
        <v>4</v>
      </c>
      <c r="J158" s="652">
        <f>'Impl plan'!J137</f>
        <v>4</v>
      </c>
      <c r="K158" s="518">
        <f>'Unit Cost'!G1304</f>
        <v>2437.5</v>
      </c>
      <c r="L158" s="519">
        <v>0.05</v>
      </c>
      <c r="M158" s="493">
        <f t="shared" si="179"/>
        <v>9750</v>
      </c>
      <c r="N158" s="493">
        <f t="shared" si="180"/>
        <v>10237.5</v>
      </c>
      <c r="O158" s="493">
        <f t="shared" si="181"/>
        <v>10749.375</v>
      </c>
      <c r="P158" s="493">
        <f t="shared" si="182"/>
        <v>11286.843750000002</v>
      </c>
      <c r="Q158" s="493">
        <f t="shared" si="183"/>
        <v>11851.185937500002</v>
      </c>
      <c r="R158" s="493">
        <f t="shared" si="183"/>
        <v>12443.745234375003</v>
      </c>
      <c r="S158" s="358">
        <f t="shared" si="184"/>
        <v>66318.64992187501</v>
      </c>
    </row>
    <row r="159" spans="1:19" ht="48.75" customHeight="1">
      <c r="A159" s="34"/>
      <c r="B159" s="552" t="s">
        <v>154</v>
      </c>
      <c r="C159" s="371" t="s">
        <v>155</v>
      </c>
      <c r="D159" s="371" t="s">
        <v>18</v>
      </c>
      <c r="E159" s="37">
        <f>'Impl plan'!E138</f>
        <v>2</v>
      </c>
      <c r="F159" s="568">
        <f>'Impl plan'!F138</f>
        <v>2</v>
      </c>
      <c r="G159" s="568">
        <f>'Impl plan'!G138</f>
        <v>2</v>
      </c>
      <c r="H159" s="568">
        <f>'Impl plan'!H138</f>
        <v>2</v>
      </c>
      <c r="I159" s="568">
        <f>'Impl plan'!I138</f>
        <v>2</v>
      </c>
      <c r="J159" s="652">
        <f>'Impl plan'!J138</f>
        <v>2</v>
      </c>
      <c r="K159" s="518">
        <f>'Unit Cost'!G1312</f>
        <v>2437.5</v>
      </c>
      <c r="L159" s="519">
        <v>0.05</v>
      </c>
      <c r="M159" s="493">
        <f t="shared" si="179"/>
        <v>4875</v>
      </c>
      <c r="N159" s="493">
        <f t="shared" si="180"/>
        <v>5118.75</v>
      </c>
      <c r="O159" s="493">
        <f t="shared" si="181"/>
        <v>5374.6875</v>
      </c>
      <c r="P159" s="493">
        <f t="shared" si="182"/>
        <v>5643.4218750000009</v>
      </c>
      <c r="Q159" s="493">
        <f t="shared" si="183"/>
        <v>5925.5929687500011</v>
      </c>
      <c r="R159" s="493">
        <f t="shared" si="183"/>
        <v>6221.8726171875014</v>
      </c>
      <c r="S159" s="358">
        <f t="shared" si="184"/>
        <v>33159.324960937505</v>
      </c>
    </row>
    <row r="160" spans="1:19" ht="24.75" customHeight="1">
      <c r="A160" s="34"/>
      <c r="B160" s="552"/>
      <c r="C160" s="554" t="s">
        <v>367</v>
      </c>
      <c r="D160" s="554"/>
      <c r="E160" s="52"/>
      <c r="F160" s="52"/>
      <c r="G160" s="53"/>
      <c r="H160" s="52"/>
      <c r="I160" s="52"/>
      <c r="J160" s="52"/>
      <c r="K160" s="362"/>
      <c r="L160" s="533"/>
      <c r="M160" s="362">
        <f>SUM(M149:M159)</f>
        <v>165250</v>
      </c>
      <c r="N160" s="362">
        <f t="shared" ref="N160:Q160" si="185">SUM(N149:N159)</f>
        <v>373800</v>
      </c>
      <c r="O160" s="362">
        <f t="shared" si="185"/>
        <v>182188.125</v>
      </c>
      <c r="P160" s="362">
        <f t="shared" si="185"/>
        <v>191297.53125000003</v>
      </c>
      <c r="Q160" s="362">
        <f t="shared" si="185"/>
        <v>200862.40781250002</v>
      </c>
      <c r="R160" s="362">
        <f t="shared" ref="R160" si="186">SUM(R149:R159)</f>
        <v>210905.52820312505</v>
      </c>
      <c r="S160" s="362">
        <f>SUM(M160:R160)</f>
        <v>1324303.592265625</v>
      </c>
    </row>
    <row r="161" spans="1:19" ht="27" customHeight="1">
      <c r="B161" s="817" t="s">
        <v>210</v>
      </c>
      <c r="C161" s="817"/>
      <c r="D161" s="817"/>
      <c r="E161" s="817"/>
      <c r="F161" s="817"/>
      <c r="G161" s="817"/>
      <c r="H161" s="817"/>
      <c r="I161" s="817"/>
      <c r="J161" s="817"/>
      <c r="K161" s="817"/>
      <c r="L161" s="817"/>
      <c r="M161" s="817"/>
      <c r="N161" s="817"/>
      <c r="O161" s="817"/>
      <c r="P161" s="817"/>
      <c r="Q161" s="817"/>
      <c r="R161" s="817"/>
      <c r="S161" s="817"/>
    </row>
    <row r="162" spans="1:19" ht="47.25" customHeight="1">
      <c r="B162" s="15" t="s">
        <v>156</v>
      </c>
      <c r="C162" s="494" t="s">
        <v>337</v>
      </c>
      <c r="D162" s="37" t="s">
        <v>157</v>
      </c>
      <c r="E162" s="37">
        <f>'Impl plan'!E140</f>
        <v>0</v>
      </c>
      <c r="F162" s="568">
        <f>'Impl plan'!F140</f>
        <v>1</v>
      </c>
      <c r="G162" s="568">
        <f>'Impl plan'!G140</f>
        <v>0</v>
      </c>
      <c r="H162" s="568">
        <f>'Impl plan'!H140</f>
        <v>0</v>
      </c>
      <c r="I162" s="568">
        <f>'Impl plan'!I140</f>
        <v>0</v>
      </c>
      <c r="J162" s="652">
        <f>'Impl plan'!J140</f>
        <v>0</v>
      </c>
      <c r="K162" s="358">
        <f>'Unit Cost'!G1322</f>
        <v>17187.5</v>
      </c>
      <c r="L162" s="517">
        <v>0.05</v>
      </c>
      <c r="M162" s="493">
        <f t="shared" ref="M162:M164" si="187">E162*$K162*M$10</f>
        <v>0</v>
      </c>
      <c r="N162" s="493">
        <f t="shared" ref="N162:N164" si="188">F162*$K162*N$10</f>
        <v>18046.875</v>
      </c>
      <c r="O162" s="493">
        <f t="shared" ref="O162:O164" si="189">G162*$K162*O$10</f>
        <v>0</v>
      </c>
      <c r="P162" s="493">
        <f t="shared" ref="P162:P164" si="190">H162*$K162*P$10</f>
        <v>0</v>
      </c>
      <c r="Q162" s="493">
        <f t="shared" ref="Q162:R164" si="191">I162*$K162*Q$10</f>
        <v>0</v>
      </c>
      <c r="R162" s="493">
        <f t="shared" si="191"/>
        <v>0</v>
      </c>
      <c r="S162" s="358">
        <f>SUM(M162:R162)</f>
        <v>18046.875</v>
      </c>
    </row>
    <row r="163" spans="1:19" ht="35.25" customHeight="1">
      <c r="B163" s="15" t="s">
        <v>158</v>
      </c>
      <c r="C163" s="494" t="s">
        <v>314</v>
      </c>
      <c r="D163" s="37" t="s">
        <v>40</v>
      </c>
      <c r="E163" s="37">
        <f>'Impl plan'!E141</f>
        <v>0</v>
      </c>
      <c r="F163" s="568">
        <f>'Impl plan'!F141</f>
        <v>1</v>
      </c>
      <c r="G163" s="568">
        <f>'Impl plan'!G141</f>
        <v>0</v>
      </c>
      <c r="H163" s="568">
        <f>'Impl plan'!H141</f>
        <v>0</v>
      </c>
      <c r="I163" s="568">
        <f>'Impl plan'!I141</f>
        <v>0</v>
      </c>
      <c r="J163" s="652">
        <f>'Impl plan'!J141</f>
        <v>0</v>
      </c>
      <c r="K163" s="358">
        <f>'Unit Cost'!G1333</f>
        <v>323375</v>
      </c>
      <c r="L163" s="517">
        <v>0.05</v>
      </c>
      <c r="M163" s="493">
        <f t="shared" si="187"/>
        <v>0</v>
      </c>
      <c r="N163" s="493">
        <f t="shared" si="188"/>
        <v>339543.75</v>
      </c>
      <c r="O163" s="493">
        <f t="shared" si="189"/>
        <v>0</v>
      </c>
      <c r="P163" s="493">
        <f t="shared" si="190"/>
        <v>0</v>
      </c>
      <c r="Q163" s="493">
        <f t="shared" si="191"/>
        <v>0</v>
      </c>
      <c r="R163" s="493">
        <f t="shared" si="191"/>
        <v>0</v>
      </c>
      <c r="S163" s="358">
        <f t="shared" ref="S163:S164" si="192">SUM(M163:R163)</f>
        <v>339543.75</v>
      </c>
    </row>
    <row r="164" spans="1:19" ht="34.5" customHeight="1">
      <c r="B164" s="15" t="s">
        <v>159</v>
      </c>
      <c r="C164" s="494" t="s">
        <v>160</v>
      </c>
      <c r="D164" s="37" t="s">
        <v>161</v>
      </c>
      <c r="E164" s="37">
        <f>'Impl plan'!E142</f>
        <v>0</v>
      </c>
      <c r="F164" s="568">
        <f>'Impl plan'!F142</f>
        <v>1</v>
      </c>
      <c r="G164" s="568">
        <f>'Impl plan'!G142</f>
        <v>0</v>
      </c>
      <c r="H164" s="568">
        <f>'Impl plan'!H142</f>
        <v>0</v>
      </c>
      <c r="I164" s="568">
        <f>'Impl plan'!I142</f>
        <v>0</v>
      </c>
      <c r="J164" s="652">
        <f>'Impl plan'!J142</f>
        <v>0</v>
      </c>
      <c r="K164" s="358">
        <f>'Unit Cost'!G1346</f>
        <v>14437.5</v>
      </c>
      <c r="L164" s="517">
        <f>L163</f>
        <v>0.05</v>
      </c>
      <c r="M164" s="493">
        <f t="shared" si="187"/>
        <v>0</v>
      </c>
      <c r="N164" s="493">
        <f t="shared" si="188"/>
        <v>15159.375</v>
      </c>
      <c r="O164" s="493">
        <f t="shared" si="189"/>
        <v>0</v>
      </c>
      <c r="P164" s="493">
        <f t="shared" si="190"/>
        <v>0</v>
      </c>
      <c r="Q164" s="493">
        <f t="shared" si="191"/>
        <v>0</v>
      </c>
      <c r="R164" s="493">
        <f t="shared" si="191"/>
        <v>0</v>
      </c>
      <c r="S164" s="358">
        <f t="shared" si="192"/>
        <v>15159.375</v>
      </c>
    </row>
    <row r="165" spans="1:19" ht="30" customHeight="1">
      <c r="B165" s="15"/>
      <c r="C165" s="554" t="s">
        <v>368</v>
      </c>
      <c r="D165" s="44"/>
      <c r="E165" s="44"/>
      <c r="F165" s="44"/>
      <c r="G165" s="51"/>
      <c r="H165" s="44"/>
      <c r="I165" s="44"/>
      <c r="J165" s="44"/>
      <c r="K165" s="362"/>
      <c r="L165" s="533"/>
      <c r="M165" s="362">
        <f t="shared" ref="M165:R165" si="193">SUM(M162:M164)</f>
        <v>0</v>
      </c>
      <c r="N165" s="362">
        <f t="shared" si="193"/>
        <v>372750</v>
      </c>
      <c r="O165" s="362">
        <f t="shared" si="193"/>
        <v>0</v>
      </c>
      <c r="P165" s="362">
        <f t="shared" si="193"/>
        <v>0</v>
      </c>
      <c r="Q165" s="362">
        <f t="shared" si="193"/>
        <v>0</v>
      </c>
      <c r="R165" s="362">
        <f t="shared" si="193"/>
        <v>0</v>
      </c>
      <c r="S165" s="362">
        <f>SUM(M165:R165)</f>
        <v>372750</v>
      </c>
    </row>
    <row r="166" spans="1:19" ht="27" customHeight="1">
      <c r="B166" s="817" t="s">
        <v>211</v>
      </c>
      <c r="C166" s="817"/>
      <c r="D166" s="817"/>
      <c r="E166" s="817"/>
      <c r="F166" s="817"/>
      <c r="G166" s="817"/>
      <c r="H166" s="817"/>
      <c r="I166" s="817"/>
      <c r="J166" s="817"/>
      <c r="K166" s="817"/>
      <c r="L166" s="817"/>
      <c r="M166" s="817"/>
      <c r="N166" s="817"/>
      <c r="O166" s="817"/>
      <c r="P166" s="817"/>
      <c r="Q166" s="817"/>
      <c r="R166" s="817"/>
      <c r="S166" s="817"/>
    </row>
    <row r="167" spans="1:19" s="563" customFormat="1" ht="33" customHeight="1">
      <c r="A167" s="40"/>
      <c r="B167" s="15" t="s">
        <v>162</v>
      </c>
      <c r="C167" s="15" t="s">
        <v>163</v>
      </c>
      <c r="D167" s="39"/>
      <c r="E167" s="39"/>
      <c r="F167" s="39"/>
      <c r="G167" s="36"/>
      <c r="H167" s="39"/>
      <c r="I167" s="39"/>
      <c r="J167" s="646"/>
      <c r="K167" s="358"/>
      <c r="L167" s="517"/>
      <c r="M167" s="358">
        <f>M168+M171+M172+M173</f>
        <v>339469.68972656253</v>
      </c>
      <c r="N167" s="358">
        <f t="shared" ref="N167:Q167" si="194">N168+N171+N172+N173</f>
        <v>671443.17421289068</v>
      </c>
      <c r="O167" s="358">
        <f t="shared" si="194"/>
        <v>705015.33292353514</v>
      </c>
      <c r="P167" s="358">
        <f t="shared" si="194"/>
        <v>913909.84956971207</v>
      </c>
      <c r="Q167" s="358">
        <f t="shared" si="194"/>
        <v>412627.52954819758</v>
      </c>
      <c r="R167" s="358">
        <f t="shared" ref="R167" si="195">R168+R171+R172+R173</f>
        <v>433258.90602560749</v>
      </c>
      <c r="S167" s="358">
        <f>SUM(M167:R167)</f>
        <v>3475724.4820065051</v>
      </c>
    </row>
    <row r="168" spans="1:19" ht="53.25" customHeight="1">
      <c r="B168" s="23" t="s">
        <v>164</v>
      </c>
      <c r="C168" s="494" t="s">
        <v>165</v>
      </c>
      <c r="D168" s="37"/>
      <c r="E168" s="37"/>
      <c r="F168" s="37"/>
      <c r="G168" s="37"/>
      <c r="H168" s="37"/>
      <c r="I168" s="37"/>
      <c r="J168" s="647"/>
      <c r="K168" s="358"/>
      <c r="L168" s="517"/>
      <c r="M168" s="493">
        <f t="shared" ref="M168:R168" si="196">SUM(M169:M170)</f>
        <v>150000</v>
      </c>
      <c r="N168" s="493">
        <f t="shared" si="196"/>
        <v>472500</v>
      </c>
      <c r="O168" s="493">
        <f t="shared" si="196"/>
        <v>496125</v>
      </c>
      <c r="P168" s="493">
        <f t="shared" si="196"/>
        <v>694575.00000000012</v>
      </c>
      <c r="Q168" s="493">
        <f t="shared" si="196"/>
        <v>182325.93750000003</v>
      </c>
      <c r="R168" s="493">
        <f t="shared" si="196"/>
        <v>191442.23437500006</v>
      </c>
      <c r="S168" s="358">
        <f>SUM(M168:R168)</f>
        <v>2186968.171875</v>
      </c>
    </row>
    <row r="169" spans="1:19" ht="35.25" customHeight="1">
      <c r="B169" s="494" t="s">
        <v>166</v>
      </c>
      <c r="C169" s="494" t="s">
        <v>167</v>
      </c>
      <c r="D169" s="37" t="s">
        <v>40</v>
      </c>
      <c r="E169" s="37">
        <f>'Impl plan'!E146</f>
        <v>0</v>
      </c>
      <c r="F169" s="568">
        <f>'Impl plan'!F146</f>
        <v>0</v>
      </c>
      <c r="G169" s="568">
        <f>'Impl plan'!G146</f>
        <v>0</v>
      </c>
      <c r="H169" s="568">
        <f>'Impl plan'!H146</f>
        <v>0</v>
      </c>
      <c r="I169" s="568">
        <f>'Impl plan'!I146</f>
        <v>0</v>
      </c>
      <c r="J169" s="652">
        <f>'Impl plan'!J146</f>
        <v>0</v>
      </c>
      <c r="K169" s="358">
        <f>'Unit Cost'!G1362</f>
        <v>25593.75</v>
      </c>
      <c r="L169" s="517">
        <v>0.05</v>
      </c>
      <c r="M169" s="493">
        <f t="shared" ref="M169:M173" si="197">E169*$K169*M$10</f>
        <v>0</v>
      </c>
      <c r="N169" s="493">
        <f t="shared" ref="N169:R173" si="198">F169*$K169*N$10</f>
        <v>0</v>
      </c>
      <c r="O169" s="493">
        <f t="shared" si="198"/>
        <v>0</v>
      </c>
      <c r="P169" s="493">
        <f t="shared" si="198"/>
        <v>0</v>
      </c>
      <c r="Q169" s="493">
        <f t="shared" si="198"/>
        <v>0</v>
      </c>
      <c r="R169" s="493">
        <f t="shared" si="198"/>
        <v>0</v>
      </c>
      <c r="S169" s="358">
        <f t="shared" ref="S169:S186" si="199">SUM(M169:R169)</f>
        <v>0</v>
      </c>
    </row>
    <row r="170" spans="1:19" ht="33" customHeight="1">
      <c r="B170" s="494" t="s">
        <v>168</v>
      </c>
      <c r="C170" s="494" t="s">
        <v>169</v>
      </c>
      <c r="D170" s="37" t="s">
        <v>4</v>
      </c>
      <c r="E170" s="37">
        <f>'Impl plan'!E147</f>
        <v>500</v>
      </c>
      <c r="F170" s="568">
        <f>'Impl plan'!F147</f>
        <v>1500</v>
      </c>
      <c r="G170" s="568">
        <f>'Impl plan'!G147</f>
        <v>1500</v>
      </c>
      <c r="H170" s="568">
        <f>'Impl plan'!H147</f>
        <v>2000</v>
      </c>
      <c r="I170" s="568">
        <f>'Impl plan'!I147</f>
        <v>500</v>
      </c>
      <c r="J170" s="652">
        <f>'Impl plan'!J147</f>
        <v>500</v>
      </c>
      <c r="K170" s="358">
        <f>'Unit Cost'!G1376</f>
        <v>300</v>
      </c>
      <c r="L170" s="517">
        <v>0.05</v>
      </c>
      <c r="M170" s="493">
        <f t="shared" si="197"/>
        <v>150000</v>
      </c>
      <c r="N170" s="493">
        <f t="shared" si="198"/>
        <v>472500</v>
      </c>
      <c r="O170" s="493">
        <f t="shared" si="198"/>
        <v>496125</v>
      </c>
      <c r="P170" s="493">
        <f t="shared" si="198"/>
        <v>694575.00000000012</v>
      </c>
      <c r="Q170" s="493">
        <f t="shared" si="198"/>
        <v>182325.93750000003</v>
      </c>
      <c r="R170" s="493">
        <f t="shared" si="198"/>
        <v>191442.23437500006</v>
      </c>
      <c r="S170" s="358">
        <f t="shared" si="199"/>
        <v>2186968.171875</v>
      </c>
    </row>
    <row r="171" spans="1:19" ht="48" customHeight="1">
      <c r="B171" s="23" t="s">
        <v>170</v>
      </c>
      <c r="C171" s="494" t="s">
        <v>171</v>
      </c>
      <c r="D171" s="37" t="s">
        <v>4</v>
      </c>
      <c r="E171" s="37">
        <f>'Impl plan'!E148</f>
        <v>10</v>
      </c>
      <c r="F171" s="568">
        <f>'Impl plan'!F148</f>
        <v>10</v>
      </c>
      <c r="G171" s="568">
        <f>'Impl plan'!G148</f>
        <v>10</v>
      </c>
      <c r="H171" s="568">
        <f>'Impl plan'!H148</f>
        <v>10</v>
      </c>
      <c r="I171" s="568">
        <f>'Impl plan'!I148</f>
        <v>10</v>
      </c>
      <c r="J171" s="652">
        <f>'Impl plan'!J148</f>
        <v>10</v>
      </c>
      <c r="K171" s="358">
        <f>'Unit Cost'!G1391</f>
        <v>7265.6772070312509</v>
      </c>
      <c r="L171" s="517">
        <v>0.05</v>
      </c>
      <c r="M171" s="493">
        <f t="shared" si="197"/>
        <v>72656.772070312509</v>
      </c>
      <c r="N171" s="493">
        <f t="shared" si="198"/>
        <v>76289.610673828138</v>
      </c>
      <c r="O171" s="493">
        <f t="shared" si="198"/>
        <v>80104.091207519537</v>
      </c>
      <c r="P171" s="493">
        <f t="shared" si="198"/>
        <v>84109.295767895528</v>
      </c>
      <c r="Q171" s="493">
        <f t="shared" si="198"/>
        <v>88314.760556290305</v>
      </c>
      <c r="R171" s="493">
        <f t="shared" si="198"/>
        <v>92730.498584104833</v>
      </c>
      <c r="S171" s="358">
        <f t="shared" si="199"/>
        <v>494205.02885995083</v>
      </c>
    </row>
    <row r="172" spans="1:19" ht="33" customHeight="1">
      <c r="B172" s="23" t="s">
        <v>172</v>
      </c>
      <c r="C172" s="494" t="s">
        <v>173</v>
      </c>
      <c r="D172" s="37" t="s">
        <v>4</v>
      </c>
      <c r="E172" s="37">
        <f>'Impl plan'!E149</f>
        <v>8</v>
      </c>
      <c r="F172" s="568">
        <f>'Impl plan'!F149</f>
        <v>8</v>
      </c>
      <c r="G172" s="568">
        <f>'Impl plan'!G149</f>
        <v>8</v>
      </c>
      <c r="H172" s="568">
        <f>'Impl plan'!H149</f>
        <v>8</v>
      </c>
      <c r="I172" s="568">
        <f>'Impl plan'!I149</f>
        <v>8</v>
      </c>
      <c r="J172" s="652">
        <f>'Impl plan'!J149</f>
        <v>8</v>
      </c>
      <c r="K172" s="358">
        <f>'Unit Cost'!G1404</f>
        <v>7101.6147070312509</v>
      </c>
      <c r="L172" s="517">
        <v>0.05</v>
      </c>
      <c r="M172" s="493">
        <f t="shared" si="197"/>
        <v>56812.917656250007</v>
      </c>
      <c r="N172" s="493">
        <f t="shared" si="198"/>
        <v>59653.56353906251</v>
      </c>
      <c r="O172" s="493">
        <f t="shared" si="198"/>
        <v>62636.241716015633</v>
      </c>
      <c r="P172" s="493">
        <f t="shared" si="198"/>
        <v>65768.053801816422</v>
      </c>
      <c r="Q172" s="493">
        <f t="shared" si="198"/>
        <v>69056.456491907244</v>
      </c>
      <c r="R172" s="493">
        <f t="shared" si="198"/>
        <v>72509.279316502623</v>
      </c>
      <c r="S172" s="358">
        <f t="shared" si="199"/>
        <v>386436.51252155442</v>
      </c>
    </row>
    <row r="173" spans="1:19" ht="33.75" customHeight="1">
      <c r="A173" s="34"/>
      <c r="B173" s="23" t="s">
        <v>174</v>
      </c>
      <c r="C173" s="494" t="s">
        <v>175</v>
      </c>
      <c r="D173" s="37" t="s">
        <v>4</v>
      </c>
      <c r="E173" s="37">
        <f>'Impl plan'!E150</f>
        <v>200</v>
      </c>
      <c r="F173" s="568">
        <f>'Impl plan'!F150</f>
        <v>200</v>
      </c>
      <c r="G173" s="568">
        <f>'Impl plan'!G150</f>
        <v>200</v>
      </c>
      <c r="H173" s="568">
        <f>'Impl plan'!H150</f>
        <v>200</v>
      </c>
      <c r="I173" s="568">
        <f>'Impl plan'!I150</f>
        <v>200</v>
      </c>
      <c r="J173" s="652">
        <f>'Impl plan'!J150</f>
        <v>200</v>
      </c>
      <c r="K173" s="518">
        <f>'Unit Cost'!G1413</f>
        <v>300</v>
      </c>
      <c r="L173" s="519">
        <v>0.05</v>
      </c>
      <c r="M173" s="493">
        <f t="shared" si="197"/>
        <v>60000</v>
      </c>
      <c r="N173" s="493">
        <f t="shared" si="198"/>
        <v>63000</v>
      </c>
      <c r="O173" s="493">
        <f t="shared" si="198"/>
        <v>66150</v>
      </c>
      <c r="P173" s="493">
        <f t="shared" si="198"/>
        <v>69457.500000000015</v>
      </c>
      <c r="Q173" s="493">
        <f t="shared" si="198"/>
        <v>72930.375000000015</v>
      </c>
      <c r="R173" s="493">
        <f t="shared" si="198"/>
        <v>76576.893750000017</v>
      </c>
      <c r="S173" s="358">
        <f t="shared" si="199"/>
        <v>408114.76875000005</v>
      </c>
    </row>
    <row r="174" spans="1:19" s="563" customFormat="1" ht="58.5" customHeight="1">
      <c r="A174" s="40"/>
      <c r="B174" s="15" t="s">
        <v>176</v>
      </c>
      <c r="C174" s="15" t="s">
        <v>270</v>
      </c>
      <c r="D174" s="39"/>
      <c r="E174" s="39"/>
      <c r="F174" s="39"/>
      <c r="G174" s="36"/>
      <c r="H174" s="39"/>
      <c r="I174" s="39"/>
      <c r="J174" s="651"/>
      <c r="K174" s="358"/>
      <c r="L174" s="517"/>
      <c r="M174" s="493">
        <f>SUM(M175:M179)</f>
        <v>0</v>
      </c>
      <c r="N174" s="493">
        <f t="shared" ref="N174:Q174" si="200">SUM(N175:N179)</f>
        <v>0</v>
      </c>
      <c r="O174" s="493">
        <f t="shared" si="200"/>
        <v>0</v>
      </c>
      <c r="P174" s="493">
        <f t="shared" si="200"/>
        <v>0</v>
      </c>
      <c r="Q174" s="493">
        <f t="shared" si="200"/>
        <v>0</v>
      </c>
      <c r="R174" s="493">
        <f t="shared" ref="R174" si="201">SUM(R175:R179)</f>
        <v>0</v>
      </c>
      <c r="S174" s="358">
        <f t="shared" si="199"/>
        <v>0</v>
      </c>
    </row>
    <row r="175" spans="1:19" ht="45.75" customHeight="1">
      <c r="B175" s="23" t="s">
        <v>177</v>
      </c>
      <c r="C175" s="494" t="s">
        <v>178</v>
      </c>
      <c r="D175" s="37"/>
      <c r="E175" s="37">
        <f>'Impl plan'!E152</f>
        <v>0</v>
      </c>
      <c r="F175" s="568">
        <f>'Impl plan'!F152</f>
        <v>0</v>
      </c>
      <c r="G175" s="568">
        <f>'Impl plan'!G152</f>
        <v>0</v>
      </c>
      <c r="H175" s="568">
        <f>'Impl plan'!H152</f>
        <v>0</v>
      </c>
      <c r="I175" s="568">
        <f>'Impl plan'!I152</f>
        <v>0</v>
      </c>
      <c r="J175" s="652">
        <f>'Impl plan'!J152</f>
        <v>0</v>
      </c>
      <c r="K175" s="358">
        <f>'Unit Cost'!G1429</f>
        <v>0</v>
      </c>
      <c r="L175" s="517">
        <v>0.05</v>
      </c>
      <c r="M175" s="493">
        <f t="shared" ref="M175:M179" si="202">E175*$K175*M$10</f>
        <v>0</v>
      </c>
      <c r="N175" s="493">
        <f t="shared" ref="N175:N179" si="203">F175*$K175*N$10</f>
        <v>0</v>
      </c>
      <c r="O175" s="493">
        <f t="shared" ref="O175:O179" si="204">G175*$K175*O$10</f>
        <v>0</v>
      </c>
      <c r="P175" s="493">
        <f t="shared" ref="P175:P179" si="205">H175*$K175*P$10</f>
        <v>0</v>
      </c>
      <c r="Q175" s="493">
        <f t="shared" ref="Q175:R179" si="206">I175*$K175*Q$10</f>
        <v>0</v>
      </c>
      <c r="R175" s="493">
        <f t="shared" si="206"/>
        <v>0</v>
      </c>
      <c r="S175" s="358">
        <f t="shared" si="199"/>
        <v>0</v>
      </c>
    </row>
    <row r="176" spans="1:19" ht="33.75" customHeight="1">
      <c r="B176" s="23" t="s">
        <v>179</v>
      </c>
      <c r="C176" s="494" t="s">
        <v>180</v>
      </c>
      <c r="D176" s="37"/>
      <c r="E176" s="37">
        <f>'Impl plan'!E153</f>
        <v>0</v>
      </c>
      <c r="F176" s="568">
        <f>'Impl plan'!F153</f>
        <v>0</v>
      </c>
      <c r="G176" s="568">
        <f>'Impl plan'!G153</f>
        <v>0</v>
      </c>
      <c r="H176" s="568">
        <f>'Impl plan'!H153</f>
        <v>0</v>
      </c>
      <c r="I176" s="568">
        <f>'Impl plan'!I153</f>
        <v>0</v>
      </c>
      <c r="J176" s="652">
        <f>'Impl plan'!J153</f>
        <v>0</v>
      </c>
      <c r="K176" s="358">
        <f>'Unit Cost'!G1429</f>
        <v>0</v>
      </c>
      <c r="L176" s="517">
        <v>0.05</v>
      </c>
      <c r="M176" s="493">
        <f t="shared" si="202"/>
        <v>0</v>
      </c>
      <c r="N176" s="493">
        <f t="shared" si="203"/>
        <v>0</v>
      </c>
      <c r="O176" s="493">
        <f t="shared" si="204"/>
        <v>0</v>
      </c>
      <c r="P176" s="493">
        <f t="shared" si="205"/>
        <v>0</v>
      </c>
      <c r="Q176" s="493">
        <f t="shared" si="206"/>
        <v>0</v>
      </c>
      <c r="R176" s="493">
        <f t="shared" si="206"/>
        <v>0</v>
      </c>
      <c r="S176" s="358">
        <f t="shared" si="199"/>
        <v>0</v>
      </c>
    </row>
    <row r="177" spans="1:19" ht="61.5" customHeight="1">
      <c r="B177" s="494" t="s">
        <v>267</v>
      </c>
      <c r="C177" s="31" t="s">
        <v>381</v>
      </c>
      <c r="D177" s="37"/>
      <c r="E177" s="37">
        <f>'Impl plan'!E154</f>
        <v>0</v>
      </c>
      <c r="F177" s="568">
        <f>'Impl plan'!F154</f>
        <v>0</v>
      </c>
      <c r="G177" s="568">
        <f>'Impl plan'!G154</f>
        <v>0</v>
      </c>
      <c r="H177" s="568">
        <f>'Impl plan'!H154</f>
        <v>0</v>
      </c>
      <c r="I177" s="568">
        <f>'Impl plan'!I154</f>
        <v>0</v>
      </c>
      <c r="J177" s="652">
        <f>'Impl plan'!J154</f>
        <v>0</v>
      </c>
      <c r="K177" s="358">
        <f>'Unit Cost'!I1426</f>
        <v>0</v>
      </c>
      <c r="L177" s="517">
        <v>0.05</v>
      </c>
      <c r="M177" s="493">
        <f t="shared" si="202"/>
        <v>0</v>
      </c>
      <c r="N177" s="493">
        <f t="shared" si="203"/>
        <v>0</v>
      </c>
      <c r="O177" s="493">
        <f t="shared" si="204"/>
        <v>0</v>
      </c>
      <c r="P177" s="493">
        <f t="shared" si="205"/>
        <v>0</v>
      </c>
      <c r="Q177" s="493">
        <f t="shared" si="206"/>
        <v>0</v>
      </c>
      <c r="R177" s="493">
        <f t="shared" si="206"/>
        <v>0</v>
      </c>
      <c r="S177" s="358">
        <f t="shared" si="199"/>
        <v>0</v>
      </c>
    </row>
    <row r="178" spans="1:19" ht="40.5" customHeight="1">
      <c r="B178" s="494" t="s">
        <v>268</v>
      </c>
      <c r="C178" s="31" t="s">
        <v>644</v>
      </c>
      <c r="D178" s="37"/>
      <c r="E178" s="37">
        <f>'Impl plan'!E155</f>
        <v>0</v>
      </c>
      <c r="F178" s="568">
        <f>'Impl plan'!F155</f>
        <v>0</v>
      </c>
      <c r="G178" s="568">
        <f>'Impl plan'!G155</f>
        <v>0</v>
      </c>
      <c r="H178" s="568">
        <f>'Impl plan'!H155</f>
        <v>0</v>
      </c>
      <c r="I178" s="568">
        <f>'Impl plan'!I155</f>
        <v>0</v>
      </c>
      <c r="J178" s="652">
        <f>'Impl plan'!J155</f>
        <v>0</v>
      </c>
      <c r="K178" s="358">
        <f>'Unit Cost'!I1427</f>
        <v>0</v>
      </c>
      <c r="L178" s="517">
        <v>0.05</v>
      </c>
      <c r="M178" s="493">
        <f t="shared" si="202"/>
        <v>0</v>
      </c>
      <c r="N178" s="493">
        <f t="shared" si="203"/>
        <v>0</v>
      </c>
      <c r="O178" s="493">
        <f t="shared" si="204"/>
        <v>0</v>
      </c>
      <c r="P178" s="493">
        <f t="shared" si="205"/>
        <v>0</v>
      </c>
      <c r="Q178" s="493">
        <f t="shared" si="206"/>
        <v>0</v>
      </c>
      <c r="R178" s="493">
        <f t="shared" si="206"/>
        <v>0</v>
      </c>
      <c r="S178" s="358">
        <f t="shared" si="199"/>
        <v>0</v>
      </c>
    </row>
    <row r="179" spans="1:19" ht="35.25" customHeight="1">
      <c r="B179" s="494" t="s">
        <v>269</v>
      </c>
      <c r="C179" s="31" t="s">
        <v>645</v>
      </c>
      <c r="D179" s="37"/>
      <c r="E179" s="37">
        <f>'Impl plan'!E156</f>
        <v>0</v>
      </c>
      <c r="F179" s="568">
        <f>'Impl plan'!F156</f>
        <v>0</v>
      </c>
      <c r="G179" s="568">
        <f>'Impl plan'!G156</f>
        <v>0</v>
      </c>
      <c r="H179" s="568">
        <f>'Impl plan'!H156</f>
        <v>0</v>
      </c>
      <c r="I179" s="568">
        <f>'Impl plan'!I156</f>
        <v>0</v>
      </c>
      <c r="J179" s="652">
        <f>'Impl plan'!J156</f>
        <v>0</v>
      </c>
      <c r="K179" s="358">
        <f>'Unit Cost'!I1428</f>
        <v>0</v>
      </c>
      <c r="L179" s="517">
        <v>0.05</v>
      </c>
      <c r="M179" s="493">
        <f t="shared" si="202"/>
        <v>0</v>
      </c>
      <c r="N179" s="493">
        <f t="shared" si="203"/>
        <v>0</v>
      </c>
      <c r="O179" s="493">
        <f t="shared" si="204"/>
        <v>0</v>
      </c>
      <c r="P179" s="493">
        <f t="shared" si="205"/>
        <v>0</v>
      </c>
      <c r="Q179" s="493">
        <f t="shared" si="206"/>
        <v>0</v>
      </c>
      <c r="R179" s="493">
        <f t="shared" si="206"/>
        <v>0</v>
      </c>
      <c r="S179" s="358">
        <f t="shared" si="199"/>
        <v>0</v>
      </c>
    </row>
    <row r="180" spans="1:19" s="563" customFormat="1" ht="39" customHeight="1">
      <c r="A180" s="40"/>
      <c r="B180" s="15" t="s">
        <v>181</v>
      </c>
      <c r="C180" s="15" t="s">
        <v>284</v>
      </c>
      <c r="D180" s="39"/>
      <c r="E180" s="39"/>
      <c r="F180" s="39"/>
      <c r="G180" s="36"/>
      <c r="H180" s="39"/>
      <c r="I180" s="39"/>
      <c r="J180" s="651"/>
      <c r="K180" s="358"/>
      <c r="L180" s="517"/>
      <c r="M180" s="358">
        <f t="shared" ref="M180:R180" si="207">SUM(M181:M183)</f>
        <v>1687200</v>
      </c>
      <c r="N180" s="358">
        <f t="shared" si="207"/>
        <v>1476300</v>
      </c>
      <c r="O180" s="358">
        <f t="shared" si="207"/>
        <v>1550115</v>
      </c>
      <c r="P180" s="358">
        <f t="shared" si="207"/>
        <v>0</v>
      </c>
      <c r="Q180" s="358">
        <f t="shared" si="207"/>
        <v>0</v>
      </c>
      <c r="R180" s="358">
        <f t="shared" si="207"/>
        <v>0</v>
      </c>
      <c r="S180" s="358">
        <f t="shared" si="199"/>
        <v>4713615</v>
      </c>
    </row>
    <row r="181" spans="1:19" ht="33.75" customHeight="1">
      <c r="B181" s="23" t="s">
        <v>182</v>
      </c>
      <c r="C181" s="494" t="s">
        <v>183</v>
      </c>
      <c r="D181" s="37"/>
      <c r="E181" s="37">
        <f>'Impl plan'!E158</f>
        <v>0</v>
      </c>
      <c r="F181" s="568">
        <f>'Impl plan'!F158</f>
        <v>0</v>
      </c>
      <c r="G181" s="568">
        <f>'Impl plan'!G158</f>
        <v>0</v>
      </c>
      <c r="H181" s="568">
        <f>'Impl plan'!H158</f>
        <v>0</v>
      </c>
      <c r="I181" s="568">
        <f>'Impl plan'!I158</f>
        <v>0</v>
      </c>
      <c r="J181" s="652">
        <f>'Impl plan'!J158</f>
        <v>0</v>
      </c>
      <c r="K181" s="358">
        <f>'Unit Cost'!G1435</f>
        <v>0</v>
      </c>
      <c r="L181" s="517">
        <v>0.05</v>
      </c>
      <c r="M181" s="493">
        <f t="shared" ref="M181:M183" si="208">E181*$K181*M$10</f>
        <v>0</v>
      </c>
      <c r="N181" s="493">
        <f t="shared" ref="N181:N183" si="209">F181*$K181*N$10</f>
        <v>0</v>
      </c>
      <c r="O181" s="493">
        <f t="shared" ref="O181:O183" si="210">G181*$K181*O$10</f>
        <v>0</v>
      </c>
      <c r="P181" s="493">
        <f t="shared" ref="P181:P183" si="211">H181*$K181*P$10</f>
        <v>0</v>
      </c>
      <c r="Q181" s="493">
        <f t="shared" ref="Q181:R183" si="212">I181*$K181*Q$10</f>
        <v>0</v>
      </c>
      <c r="R181" s="493">
        <f t="shared" si="212"/>
        <v>0</v>
      </c>
      <c r="S181" s="358">
        <f t="shared" si="199"/>
        <v>0</v>
      </c>
    </row>
    <row r="182" spans="1:19" ht="33.75" customHeight="1">
      <c r="B182" s="23" t="s">
        <v>184</v>
      </c>
      <c r="C182" s="494" t="s">
        <v>185</v>
      </c>
      <c r="D182" s="37"/>
      <c r="E182" s="37">
        <f>'Impl plan'!E159</f>
        <v>0</v>
      </c>
      <c r="F182" s="568">
        <f>'Impl plan'!F159</f>
        <v>0</v>
      </c>
      <c r="G182" s="568">
        <f>'Impl plan'!G159</f>
        <v>0</v>
      </c>
      <c r="H182" s="568">
        <f>'Impl plan'!H159</f>
        <v>0</v>
      </c>
      <c r="I182" s="568">
        <f>'Impl plan'!I159</f>
        <v>0</v>
      </c>
      <c r="J182" s="652">
        <f>'Impl plan'!J159</f>
        <v>0</v>
      </c>
      <c r="K182" s="358">
        <f>'Unit Cost'!G1439</f>
        <v>0</v>
      </c>
      <c r="L182" s="517">
        <v>0.05</v>
      </c>
      <c r="M182" s="493">
        <f t="shared" si="208"/>
        <v>0</v>
      </c>
      <c r="N182" s="493">
        <f t="shared" si="209"/>
        <v>0</v>
      </c>
      <c r="O182" s="493">
        <f t="shared" si="210"/>
        <v>0</v>
      </c>
      <c r="P182" s="493">
        <f t="shared" si="211"/>
        <v>0</v>
      </c>
      <c r="Q182" s="493">
        <f t="shared" si="212"/>
        <v>0</v>
      </c>
      <c r="R182" s="493">
        <f t="shared" si="212"/>
        <v>0</v>
      </c>
      <c r="S182" s="358">
        <f t="shared" si="199"/>
        <v>0</v>
      </c>
    </row>
    <row r="183" spans="1:19" ht="33" customHeight="1">
      <c r="B183" s="23" t="s">
        <v>186</v>
      </c>
      <c r="C183" s="494" t="s">
        <v>187</v>
      </c>
      <c r="D183" s="37" t="s">
        <v>188</v>
      </c>
      <c r="E183" s="37">
        <f>'Impl plan'!E160</f>
        <v>12</v>
      </c>
      <c r="F183" s="568">
        <f>'Impl plan'!F160</f>
        <v>10</v>
      </c>
      <c r="G183" s="568">
        <f>'Impl plan'!G160</f>
        <v>10</v>
      </c>
      <c r="H183" s="568">
        <f>'Impl plan'!H160</f>
        <v>0</v>
      </c>
      <c r="I183" s="568">
        <f>'Impl plan'!I160</f>
        <v>0</v>
      </c>
      <c r="J183" s="652">
        <f>'Impl plan'!J160</f>
        <v>0</v>
      </c>
      <c r="K183" s="358">
        <f>'Unit Cost'!G1448</f>
        <v>140600</v>
      </c>
      <c r="L183" s="517">
        <v>0.05</v>
      </c>
      <c r="M183" s="493">
        <f t="shared" si="208"/>
        <v>1687200</v>
      </c>
      <c r="N183" s="493">
        <f t="shared" si="209"/>
        <v>1476300</v>
      </c>
      <c r="O183" s="493">
        <f t="shared" si="210"/>
        <v>1550115</v>
      </c>
      <c r="P183" s="493">
        <f t="shared" si="211"/>
        <v>0</v>
      </c>
      <c r="Q183" s="493">
        <f t="shared" si="212"/>
        <v>0</v>
      </c>
      <c r="R183" s="493">
        <f t="shared" si="212"/>
        <v>0</v>
      </c>
      <c r="S183" s="358">
        <f t="shared" si="199"/>
        <v>4713615</v>
      </c>
    </row>
    <row r="184" spans="1:19" s="563" customFormat="1" ht="101.25" customHeight="1">
      <c r="A184" s="40"/>
      <c r="B184" s="15" t="s">
        <v>189</v>
      </c>
      <c r="C184" s="15" t="s">
        <v>190</v>
      </c>
      <c r="D184" s="39"/>
      <c r="E184" s="39"/>
      <c r="F184" s="39"/>
      <c r="G184" s="36"/>
      <c r="H184" s="39"/>
      <c r="I184" s="39"/>
      <c r="J184" s="651"/>
      <c r="K184" s="358"/>
      <c r="L184" s="517"/>
      <c r="M184" s="358">
        <f t="shared" ref="M184:R184" si="213">M185+M186</f>
        <v>115258.75000000001</v>
      </c>
      <c r="N184" s="358">
        <f t="shared" si="213"/>
        <v>105173.25000000001</v>
      </c>
      <c r="O184" s="358">
        <f t="shared" si="213"/>
        <v>110431.91250000002</v>
      </c>
      <c r="P184" s="358">
        <f t="shared" si="213"/>
        <v>115953.50812500004</v>
      </c>
      <c r="Q184" s="358">
        <f t="shared" si="213"/>
        <v>121751.18353125005</v>
      </c>
      <c r="R184" s="358">
        <f t="shared" si="213"/>
        <v>127838.74270781255</v>
      </c>
      <c r="S184" s="358">
        <f t="shared" si="199"/>
        <v>696407.34686406271</v>
      </c>
    </row>
    <row r="185" spans="1:19" ht="33" customHeight="1">
      <c r="B185" s="23" t="s">
        <v>1105</v>
      </c>
      <c r="C185" s="494" t="s">
        <v>191</v>
      </c>
      <c r="D185" s="37" t="s">
        <v>192</v>
      </c>
      <c r="E185" s="37">
        <f>'Impl plan'!E162</f>
        <v>1</v>
      </c>
      <c r="F185" s="568">
        <f>'Impl plan'!F162</f>
        <v>0</v>
      </c>
      <c r="G185" s="568">
        <f>'Impl plan'!G162</f>
        <v>0</v>
      </c>
      <c r="H185" s="568">
        <f>'Impl plan'!H162</f>
        <v>0</v>
      </c>
      <c r="I185" s="568">
        <f>'Impl plan'!I162</f>
        <v>0</v>
      </c>
      <c r="J185" s="652">
        <f>'Impl plan'!J162</f>
        <v>0</v>
      </c>
      <c r="K185" s="358">
        <f>'Unit Cost'!G1467</f>
        <v>15093.75</v>
      </c>
      <c r="L185" s="517">
        <v>0.05</v>
      </c>
      <c r="M185" s="493">
        <f t="shared" ref="M185:M186" si="214">E185*$K185*M$10</f>
        <v>15093.75</v>
      </c>
      <c r="N185" s="493">
        <f t="shared" ref="N185:N186" si="215">F185*$K185*N$10</f>
        <v>0</v>
      </c>
      <c r="O185" s="493">
        <f t="shared" ref="O185:O186" si="216">G185*$K185*O$10</f>
        <v>0</v>
      </c>
      <c r="P185" s="493">
        <f t="shared" ref="P185:P186" si="217">H185*$K185*P$10</f>
        <v>0</v>
      </c>
      <c r="Q185" s="493">
        <f t="shared" ref="Q185:R186" si="218">I185*$K185*Q$10</f>
        <v>0</v>
      </c>
      <c r="R185" s="493">
        <f t="shared" si="218"/>
        <v>0</v>
      </c>
      <c r="S185" s="358">
        <f t="shared" si="199"/>
        <v>15093.75</v>
      </c>
    </row>
    <row r="186" spans="1:19" ht="35.25" customHeight="1">
      <c r="B186" s="23" t="s">
        <v>1106</v>
      </c>
      <c r="C186" s="494" t="s">
        <v>193</v>
      </c>
      <c r="D186" s="37" t="s">
        <v>4</v>
      </c>
      <c r="E186" s="37">
        <f>'Impl plan'!E163</f>
        <v>460</v>
      </c>
      <c r="F186" s="568">
        <f>'Impl plan'!F163</f>
        <v>460</v>
      </c>
      <c r="G186" s="568">
        <f>'Impl plan'!G163</f>
        <v>460</v>
      </c>
      <c r="H186" s="568">
        <f>'Impl plan'!H163</f>
        <v>460</v>
      </c>
      <c r="I186" s="568">
        <f>'Impl plan'!I163</f>
        <v>460</v>
      </c>
      <c r="J186" s="652">
        <f>'Impl plan'!J163</f>
        <v>460</v>
      </c>
      <c r="K186" s="358">
        <f>'Unit Cost'!G1475</f>
        <v>217.75000000000003</v>
      </c>
      <c r="L186" s="517">
        <v>0.05</v>
      </c>
      <c r="M186" s="493">
        <f t="shared" si="214"/>
        <v>100165.00000000001</v>
      </c>
      <c r="N186" s="493">
        <f t="shared" si="215"/>
        <v>105173.25000000001</v>
      </c>
      <c r="O186" s="493">
        <f t="shared" si="216"/>
        <v>110431.91250000002</v>
      </c>
      <c r="P186" s="493">
        <f t="shared" si="217"/>
        <v>115953.50812500004</v>
      </c>
      <c r="Q186" s="493">
        <f t="shared" si="218"/>
        <v>121751.18353125005</v>
      </c>
      <c r="R186" s="493">
        <f t="shared" si="218"/>
        <v>127838.74270781255</v>
      </c>
      <c r="S186" s="358">
        <f t="shared" si="199"/>
        <v>681313.59686406271</v>
      </c>
    </row>
    <row r="187" spans="1:19" s="563" customFormat="1" ht="33" customHeight="1">
      <c r="A187" s="40"/>
      <c r="B187" s="547"/>
      <c r="C187" s="532" t="s">
        <v>369</v>
      </c>
      <c r="D187" s="45"/>
      <c r="E187" s="45"/>
      <c r="F187" s="45"/>
      <c r="G187" s="45"/>
      <c r="H187" s="45"/>
      <c r="I187" s="45"/>
      <c r="J187" s="45"/>
      <c r="K187" s="362"/>
      <c r="L187" s="533"/>
      <c r="M187" s="362">
        <f t="shared" ref="M187:R187" si="219">M167+M174+M180+M184</f>
        <v>2141928.4397265627</v>
      </c>
      <c r="N187" s="362">
        <f t="shared" si="219"/>
        <v>2252916.4242128907</v>
      </c>
      <c r="O187" s="362">
        <f t="shared" si="219"/>
        <v>2365562.2454235354</v>
      </c>
      <c r="P187" s="362">
        <f t="shared" si="219"/>
        <v>1029863.3576947121</v>
      </c>
      <c r="Q187" s="362">
        <f t="shared" si="219"/>
        <v>534378.71307944763</v>
      </c>
      <c r="R187" s="362">
        <f t="shared" si="219"/>
        <v>561097.64873342006</v>
      </c>
      <c r="S187" s="362">
        <f>SUM(M187:R187)</f>
        <v>8885746.8288705684</v>
      </c>
    </row>
    <row r="188" spans="1:19" ht="27" customHeight="1">
      <c r="B188" s="817" t="s">
        <v>212</v>
      </c>
      <c r="C188" s="817"/>
      <c r="D188" s="817"/>
      <c r="E188" s="817"/>
      <c r="F188" s="817"/>
      <c r="G188" s="817"/>
      <c r="H188" s="817"/>
      <c r="I188" s="817"/>
      <c r="J188" s="817"/>
      <c r="K188" s="817"/>
      <c r="L188" s="817"/>
      <c r="M188" s="817"/>
      <c r="N188" s="817"/>
      <c r="O188" s="817"/>
      <c r="P188" s="817"/>
      <c r="Q188" s="817"/>
      <c r="R188" s="817"/>
      <c r="S188" s="817"/>
    </row>
    <row r="189" spans="1:19" s="563" customFormat="1" ht="44.25" customHeight="1">
      <c r="A189" s="40"/>
      <c r="B189" s="15" t="s">
        <v>194</v>
      </c>
      <c r="C189" s="15" t="s">
        <v>290</v>
      </c>
      <c r="D189" s="39"/>
      <c r="E189" s="36"/>
      <c r="F189" s="39"/>
      <c r="G189" s="39"/>
      <c r="H189" s="39"/>
      <c r="I189" s="39"/>
      <c r="J189" s="646"/>
      <c r="K189" s="358"/>
      <c r="L189" s="517"/>
      <c r="M189" s="358">
        <f t="shared" ref="M189:R189" si="220">M190+M191</f>
        <v>9236.71875</v>
      </c>
      <c r="N189" s="358">
        <f t="shared" si="220"/>
        <v>9698.5546875</v>
      </c>
      <c r="O189" s="358">
        <f t="shared" si="220"/>
        <v>10183.482421875</v>
      </c>
      <c r="P189" s="358">
        <f t="shared" si="220"/>
        <v>10692.656542968751</v>
      </c>
      <c r="Q189" s="358">
        <f t="shared" si="220"/>
        <v>11227.289370117189</v>
      </c>
      <c r="R189" s="358">
        <f t="shared" si="220"/>
        <v>11788.65383862305</v>
      </c>
      <c r="S189" s="358">
        <f>SUM(M189:R189)</f>
        <v>62827.355611083985</v>
      </c>
    </row>
    <row r="190" spans="1:19" ht="30" customHeight="1">
      <c r="B190" s="23" t="s">
        <v>195</v>
      </c>
      <c r="C190" s="494" t="s">
        <v>230</v>
      </c>
      <c r="D190" s="37" t="s">
        <v>4</v>
      </c>
      <c r="E190" s="37">
        <f>'Impl plan'!E166</f>
        <v>100</v>
      </c>
      <c r="F190" s="568">
        <f>'Impl plan'!F166</f>
        <v>100</v>
      </c>
      <c r="G190" s="568">
        <f>'Impl plan'!G166</f>
        <v>100</v>
      </c>
      <c r="H190" s="568">
        <f>'Impl plan'!H166</f>
        <v>100</v>
      </c>
      <c r="I190" s="568">
        <f>'Impl plan'!I166</f>
        <v>100</v>
      </c>
      <c r="J190" s="652">
        <f>'Impl plan'!J166</f>
        <v>100</v>
      </c>
      <c r="K190" s="358">
        <f>'Unit Cost'!G1494</f>
        <v>92.3671875</v>
      </c>
      <c r="L190" s="517">
        <v>0.05</v>
      </c>
      <c r="M190" s="493">
        <f t="shared" ref="M190:M191" si="221">E190*$K190*M$10</f>
        <v>9236.71875</v>
      </c>
      <c r="N190" s="493">
        <f t="shared" ref="N190:N192" si="222">F190*$K190*N$10</f>
        <v>9698.5546875</v>
      </c>
      <c r="O190" s="493">
        <f t="shared" ref="O190:O192" si="223">G190*$K190*O$10</f>
        <v>10183.482421875</v>
      </c>
      <c r="P190" s="493">
        <f t="shared" ref="P190:P192" si="224">H190*$K190*P$10</f>
        <v>10692.656542968751</v>
      </c>
      <c r="Q190" s="493">
        <f t="shared" ref="Q190:R192" si="225">I190*$K190*Q$10</f>
        <v>11227.289370117189</v>
      </c>
      <c r="R190" s="493">
        <f t="shared" si="225"/>
        <v>11788.65383862305</v>
      </c>
      <c r="S190" s="358">
        <f t="shared" ref="S190:S199" si="226">SUM(M190:R190)</f>
        <v>62827.355611083985</v>
      </c>
    </row>
    <row r="191" spans="1:19" ht="31.5" customHeight="1">
      <c r="B191" s="23" t="s">
        <v>196</v>
      </c>
      <c r="C191" s="494" t="s">
        <v>231</v>
      </c>
      <c r="D191" s="37" t="s">
        <v>197</v>
      </c>
      <c r="E191" s="37">
        <f>'Impl plan'!E167</f>
        <v>5</v>
      </c>
      <c r="F191" s="568">
        <f>'Impl plan'!F167</f>
        <v>5</v>
      </c>
      <c r="G191" s="568">
        <f>'Impl plan'!G167</f>
        <v>5</v>
      </c>
      <c r="H191" s="568">
        <f>'Impl plan'!H167</f>
        <v>5</v>
      </c>
      <c r="I191" s="568">
        <f>'Impl plan'!I167</f>
        <v>5</v>
      </c>
      <c r="J191" s="652">
        <f>'Impl plan'!J167</f>
        <v>5</v>
      </c>
      <c r="K191" s="358">
        <f>'Unit Cost'!G1500</f>
        <v>0</v>
      </c>
      <c r="L191" s="517">
        <v>0.05</v>
      </c>
      <c r="M191" s="493">
        <f t="shared" si="221"/>
        <v>0</v>
      </c>
      <c r="N191" s="493">
        <f t="shared" si="222"/>
        <v>0</v>
      </c>
      <c r="O191" s="493">
        <f t="shared" si="223"/>
        <v>0</v>
      </c>
      <c r="P191" s="493">
        <f t="shared" si="224"/>
        <v>0</v>
      </c>
      <c r="Q191" s="493">
        <f t="shared" si="225"/>
        <v>0</v>
      </c>
      <c r="R191" s="493">
        <f t="shared" si="225"/>
        <v>0</v>
      </c>
      <c r="S191" s="358">
        <f t="shared" si="226"/>
        <v>0</v>
      </c>
    </row>
    <row r="192" spans="1:19" s="563" customFormat="1" ht="30" customHeight="1">
      <c r="A192" s="40"/>
      <c r="B192" s="15" t="s">
        <v>198</v>
      </c>
      <c r="C192" s="15" t="s">
        <v>232</v>
      </c>
      <c r="D192" s="39" t="s">
        <v>71</v>
      </c>
      <c r="E192" s="39">
        <f>'Impl plan'!E168</f>
        <v>10</v>
      </c>
      <c r="F192" s="567">
        <f>'Impl plan'!F168</f>
        <v>10</v>
      </c>
      <c r="G192" s="567">
        <f>'Impl plan'!G168</f>
        <v>10</v>
      </c>
      <c r="H192" s="567">
        <f>'Impl plan'!H168</f>
        <v>10</v>
      </c>
      <c r="I192" s="567">
        <f>'Impl plan'!I168</f>
        <v>10</v>
      </c>
      <c r="J192" s="651">
        <f>'Impl plan'!J168</f>
        <v>10</v>
      </c>
      <c r="K192" s="358">
        <f>'Unit Cost'!G1511</f>
        <v>332.2265625</v>
      </c>
      <c r="L192" s="517">
        <v>0.05</v>
      </c>
      <c r="M192" s="358">
        <f>E192*$K192*M$10</f>
        <v>3322.265625</v>
      </c>
      <c r="N192" s="358">
        <f t="shared" si="222"/>
        <v>3488.37890625</v>
      </c>
      <c r="O192" s="358">
        <f t="shared" si="223"/>
        <v>3662.7978515625</v>
      </c>
      <c r="P192" s="358">
        <f t="shared" si="224"/>
        <v>3845.9377441406255</v>
      </c>
      <c r="Q192" s="358">
        <f t="shared" si="225"/>
        <v>4038.2346313476569</v>
      </c>
      <c r="R192" s="358">
        <f t="shared" si="225"/>
        <v>4240.1463629150403</v>
      </c>
      <c r="S192" s="358">
        <f t="shared" si="226"/>
        <v>22597.761121215823</v>
      </c>
    </row>
    <row r="193" spans="1:19" s="563" customFormat="1" ht="33" customHeight="1">
      <c r="A193" s="40"/>
      <c r="B193" s="15" t="s">
        <v>199</v>
      </c>
      <c r="C193" s="15" t="s">
        <v>200</v>
      </c>
      <c r="D193" s="39"/>
      <c r="E193" s="39"/>
      <c r="F193" s="39"/>
      <c r="G193" s="36"/>
      <c r="H193" s="39"/>
      <c r="I193" s="39"/>
      <c r="J193" s="651"/>
      <c r="K193" s="358"/>
      <c r="L193" s="517"/>
      <c r="M193" s="358">
        <f t="shared" ref="M193:R193" si="227">M194+M195</f>
        <v>198441.796875</v>
      </c>
      <c r="N193" s="358">
        <f t="shared" si="227"/>
        <v>208363.88671875</v>
      </c>
      <c r="O193" s="358">
        <f t="shared" si="227"/>
        <v>218782.0810546875</v>
      </c>
      <c r="P193" s="358">
        <f t="shared" si="227"/>
        <v>229721.18510742192</v>
      </c>
      <c r="Q193" s="358">
        <f t="shared" si="227"/>
        <v>241207.24436279302</v>
      </c>
      <c r="R193" s="358">
        <f t="shared" si="227"/>
        <v>253267.60658093268</v>
      </c>
      <c r="S193" s="358">
        <f t="shared" si="226"/>
        <v>1349783.8006995851</v>
      </c>
    </row>
    <row r="194" spans="1:19" ht="54.75" customHeight="1">
      <c r="B194" s="23" t="s">
        <v>201</v>
      </c>
      <c r="C194" s="494" t="s">
        <v>202</v>
      </c>
      <c r="D194" s="37" t="s">
        <v>102</v>
      </c>
      <c r="E194" s="37">
        <f>'Impl plan'!E170</f>
        <v>100</v>
      </c>
      <c r="F194" s="568">
        <f>'Impl plan'!F170</f>
        <v>100</v>
      </c>
      <c r="G194" s="568">
        <f>'Impl plan'!G170</f>
        <v>100</v>
      </c>
      <c r="H194" s="568">
        <f>'Impl plan'!H170</f>
        <v>100</v>
      </c>
      <c r="I194" s="568">
        <f>'Impl plan'!I170</f>
        <v>100</v>
      </c>
      <c r="J194" s="652">
        <f>'Impl plan'!J170</f>
        <v>100</v>
      </c>
      <c r="K194" s="358">
        <f>'Unit Cost'!G1525</f>
        <v>1890</v>
      </c>
      <c r="L194" s="517">
        <v>0.05</v>
      </c>
      <c r="M194" s="493">
        <f t="shared" ref="M194:M195" si="228">E194*$K194*M$10</f>
        <v>189000</v>
      </c>
      <c r="N194" s="493">
        <f t="shared" ref="N194:N195" si="229">F194*$K194*N$10</f>
        <v>198450</v>
      </c>
      <c r="O194" s="493">
        <f t="shared" ref="O194:O195" si="230">G194*$K194*O$10</f>
        <v>208372.5</v>
      </c>
      <c r="P194" s="493">
        <f t="shared" ref="P194:P195" si="231">H194*$K194*P$10</f>
        <v>218791.12500000003</v>
      </c>
      <c r="Q194" s="493">
        <f t="shared" ref="Q194:R195" si="232">I194*$K194*Q$10</f>
        <v>229730.68125000005</v>
      </c>
      <c r="R194" s="493">
        <f t="shared" si="232"/>
        <v>241217.21531250008</v>
      </c>
      <c r="S194" s="358">
        <f t="shared" si="226"/>
        <v>1285561.5215625002</v>
      </c>
    </row>
    <row r="195" spans="1:19" ht="31.5" customHeight="1">
      <c r="B195" s="23" t="s">
        <v>203</v>
      </c>
      <c r="C195" s="494" t="s">
        <v>233</v>
      </c>
      <c r="D195" s="37" t="s">
        <v>4</v>
      </c>
      <c r="E195" s="37">
        <f>'Impl plan'!E171</f>
        <v>100</v>
      </c>
      <c r="F195" s="568">
        <f>'Impl plan'!F171</f>
        <v>100</v>
      </c>
      <c r="G195" s="568">
        <f>'Impl plan'!G171</f>
        <v>100</v>
      </c>
      <c r="H195" s="568">
        <f>'Impl plan'!H171</f>
        <v>100</v>
      </c>
      <c r="I195" s="568">
        <f>'Impl plan'!I171</f>
        <v>100</v>
      </c>
      <c r="J195" s="652">
        <f>'Impl plan'!J171</f>
        <v>100</v>
      </c>
      <c r="K195" s="358">
        <f>'Unit Cost'!G1542</f>
        <v>94.41796875</v>
      </c>
      <c r="L195" s="517">
        <v>0.05</v>
      </c>
      <c r="M195" s="493">
        <f t="shared" si="228"/>
        <v>9441.796875</v>
      </c>
      <c r="N195" s="493">
        <f t="shared" si="229"/>
        <v>9913.88671875</v>
      </c>
      <c r="O195" s="493">
        <f t="shared" si="230"/>
        <v>10409.5810546875</v>
      </c>
      <c r="P195" s="493">
        <f t="shared" si="231"/>
        <v>10930.060107421876</v>
      </c>
      <c r="Q195" s="493">
        <f t="shared" si="232"/>
        <v>11476.56311279297</v>
      </c>
      <c r="R195" s="493">
        <f t="shared" si="232"/>
        <v>12050.391268432621</v>
      </c>
      <c r="S195" s="358">
        <f t="shared" si="226"/>
        <v>64222.279137084959</v>
      </c>
    </row>
    <row r="196" spans="1:19" s="563" customFormat="1" ht="31.5" customHeight="1">
      <c r="A196" s="40"/>
      <c r="B196" s="15" t="s">
        <v>204</v>
      </c>
      <c r="C196" s="15" t="s">
        <v>234</v>
      </c>
      <c r="D196" s="39" t="s">
        <v>4</v>
      </c>
      <c r="E196" s="39"/>
      <c r="F196" s="39"/>
      <c r="G196" s="39"/>
      <c r="H196" s="39"/>
      <c r="I196" s="39"/>
      <c r="J196" s="651"/>
      <c r="K196" s="358">
        <f>'Unit Cost'!G1559</f>
        <v>89.889843749999997</v>
      </c>
      <c r="L196" s="517">
        <v>0.05</v>
      </c>
      <c r="M196" s="358">
        <f t="shared" ref="M196:R196" si="233">M197+M198+M199</f>
        <v>19673.671875</v>
      </c>
      <c r="N196" s="358">
        <f t="shared" si="233"/>
        <v>7860.4804687499991</v>
      </c>
      <c r="O196" s="358">
        <f t="shared" si="233"/>
        <v>8253.5044921874996</v>
      </c>
      <c r="P196" s="358">
        <f t="shared" si="233"/>
        <v>22774.734404296876</v>
      </c>
      <c r="Q196" s="358">
        <f t="shared" si="233"/>
        <v>9099.4887026367196</v>
      </c>
      <c r="R196" s="358">
        <f t="shared" si="233"/>
        <v>9554.4631377685564</v>
      </c>
      <c r="S196" s="358">
        <f t="shared" si="226"/>
        <v>77216.34308063965</v>
      </c>
    </row>
    <row r="197" spans="1:19" ht="31.5" customHeight="1">
      <c r="B197" s="23" t="s">
        <v>249</v>
      </c>
      <c r="C197" s="494" t="s">
        <v>205</v>
      </c>
      <c r="D197" s="37" t="s">
        <v>4</v>
      </c>
      <c r="E197" s="37">
        <f>'Impl plan'!E173</f>
        <v>100</v>
      </c>
      <c r="F197" s="568">
        <f>'Impl plan'!F173</f>
        <v>100</v>
      </c>
      <c r="G197" s="568">
        <f>'Impl plan'!G173</f>
        <v>100</v>
      </c>
      <c r="H197" s="568">
        <f>'Impl plan'!H173</f>
        <v>100</v>
      </c>
      <c r="I197" s="568">
        <f>'Impl plan'!I173</f>
        <v>100</v>
      </c>
      <c r="J197" s="652">
        <f>'Impl plan'!J173</f>
        <v>100</v>
      </c>
      <c r="K197" s="358">
        <f>'Unit Cost'!G1576</f>
        <v>74.861718749999994</v>
      </c>
      <c r="L197" s="517">
        <v>0.05</v>
      </c>
      <c r="M197" s="493">
        <f t="shared" ref="M197:R197" si="234">E197*$K197*M$10</f>
        <v>7486.1718749999991</v>
      </c>
      <c r="N197" s="493">
        <f t="shared" si="234"/>
        <v>7860.4804687499991</v>
      </c>
      <c r="O197" s="493">
        <f t="shared" si="234"/>
        <v>8253.5044921874996</v>
      </c>
      <c r="P197" s="493">
        <f t="shared" si="234"/>
        <v>8666.1797167968743</v>
      </c>
      <c r="Q197" s="493">
        <f t="shared" si="234"/>
        <v>9099.4887026367196</v>
      </c>
      <c r="R197" s="493">
        <f t="shared" si="234"/>
        <v>9554.4631377685564</v>
      </c>
      <c r="S197" s="358">
        <f t="shared" si="226"/>
        <v>50920.28839313965</v>
      </c>
    </row>
    <row r="198" spans="1:19" ht="30" customHeight="1">
      <c r="B198" s="23" t="s">
        <v>250</v>
      </c>
      <c r="C198" s="494" t="s">
        <v>206</v>
      </c>
      <c r="D198" s="37" t="s">
        <v>285</v>
      </c>
      <c r="E198" s="37">
        <f>'Impl plan'!E174</f>
        <v>1</v>
      </c>
      <c r="F198" s="568">
        <f>'Impl plan'!F174</f>
        <v>0</v>
      </c>
      <c r="G198" s="568">
        <f>'Impl plan'!G174</f>
        <v>0</v>
      </c>
      <c r="H198" s="568">
        <f>'Impl plan'!H174</f>
        <v>1</v>
      </c>
      <c r="I198" s="568">
        <f>'Impl plan'!I174</f>
        <v>0</v>
      </c>
      <c r="J198" s="652">
        <f>'Impl plan'!J174</f>
        <v>0</v>
      </c>
      <c r="K198" s="358">
        <f>'Unit Cost'!G1585</f>
        <v>0</v>
      </c>
      <c r="L198" s="517">
        <v>0.05</v>
      </c>
      <c r="M198" s="493">
        <f t="shared" ref="M198:M199" si="235">E198*$K198*M$10</f>
        <v>0</v>
      </c>
      <c r="N198" s="493">
        <f t="shared" ref="N198:R199" si="236">F198*$K198*N$10</f>
        <v>0</v>
      </c>
      <c r="O198" s="493">
        <f t="shared" si="236"/>
        <v>0</v>
      </c>
      <c r="P198" s="493">
        <f t="shared" si="236"/>
        <v>0</v>
      </c>
      <c r="Q198" s="493">
        <f t="shared" si="236"/>
        <v>0</v>
      </c>
      <c r="R198" s="493">
        <f t="shared" si="236"/>
        <v>0</v>
      </c>
      <c r="S198" s="358">
        <f t="shared" si="226"/>
        <v>0</v>
      </c>
    </row>
    <row r="199" spans="1:19" ht="31.5" customHeight="1">
      <c r="B199" s="23" t="s">
        <v>251</v>
      </c>
      <c r="C199" s="494" t="s">
        <v>207</v>
      </c>
      <c r="D199" s="37" t="s">
        <v>10</v>
      </c>
      <c r="E199" s="37">
        <f>'Impl plan'!E175</f>
        <v>1</v>
      </c>
      <c r="F199" s="568">
        <f>'Impl plan'!F175</f>
        <v>0</v>
      </c>
      <c r="G199" s="568">
        <f>'Impl plan'!G175</f>
        <v>0</v>
      </c>
      <c r="H199" s="568">
        <f>'Impl plan'!H175</f>
        <v>1</v>
      </c>
      <c r="I199" s="568">
        <f>'Impl plan'!I175</f>
        <v>0</v>
      </c>
      <c r="J199" s="652">
        <f>'Impl plan'!J175</f>
        <v>0</v>
      </c>
      <c r="K199" s="358">
        <f>'Unit Cost'!G1594</f>
        <v>12187.5</v>
      </c>
      <c r="L199" s="517">
        <v>0.05</v>
      </c>
      <c r="M199" s="493">
        <f t="shared" si="235"/>
        <v>12187.5</v>
      </c>
      <c r="N199" s="493">
        <f t="shared" si="236"/>
        <v>0</v>
      </c>
      <c r="O199" s="493">
        <f t="shared" si="236"/>
        <v>0</v>
      </c>
      <c r="P199" s="493">
        <f t="shared" si="236"/>
        <v>14108.554687500002</v>
      </c>
      <c r="Q199" s="493">
        <f t="shared" si="236"/>
        <v>0</v>
      </c>
      <c r="R199" s="493">
        <f t="shared" si="236"/>
        <v>0</v>
      </c>
      <c r="S199" s="358">
        <f t="shared" si="226"/>
        <v>26296.0546875</v>
      </c>
    </row>
    <row r="200" spans="1:19" s="563" customFormat="1" ht="31.5" customHeight="1">
      <c r="A200" s="40"/>
      <c r="B200" s="537"/>
      <c r="C200" s="532" t="s">
        <v>370</v>
      </c>
      <c r="D200" s="45"/>
      <c r="E200" s="45"/>
      <c r="F200" s="45"/>
      <c r="G200" s="45"/>
      <c r="H200" s="45"/>
      <c r="I200" s="45"/>
      <c r="J200" s="45"/>
      <c r="K200" s="362"/>
      <c r="L200" s="533"/>
      <c r="M200" s="362">
        <f t="shared" ref="M200:R200" si="237">M189+M192+M193+M196</f>
        <v>230674.453125</v>
      </c>
      <c r="N200" s="362">
        <f t="shared" si="237"/>
        <v>229411.30078125</v>
      </c>
      <c r="O200" s="362">
        <f t="shared" si="237"/>
        <v>240881.86582031249</v>
      </c>
      <c r="P200" s="362">
        <f t="shared" si="237"/>
        <v>267034.51379882818</v>
      </c>
      <c r="Q200" s="362">
        <f t="shared" si="237"/>
        <v>265572.25706689461</v>
      </c>
      <c r="R200" s="362">
        <f t="shared" si="237"/>
        <v>278850.86992023932</v>
      </c>
      <c r="S200" s="362">
        <f>SUM(M200:R200)</f>
        <v>1512425.2605125245</v>
      </c>
    </row>
    <row r="201" spans="1:19" s="563" customFormat="1" ht="31.5" customHeight="1">
      <c r="A201" s="40"/>
      <c r="B201" s="547"/>
      <c r="C201" s="542" t="s">
        <v>371</v>
      </c>
      <c r="D201" s="49"/>
      <c r="E201" s="49"/>
      <c r="F201" s="49"/>
      <c r="G201" s="49"/>
      <c r="H201" s="49"/>
      <c r="I201" s="49"/>
      <c r="J201" s="49"/>
      <c r="K201" s="364"/>
      <c r="L201" s="543"/>
      <c r="M201" s="364">
        <f>M126+M133+M139+M147+M160+M165+M187+M200</f>
        <v>3580967.038438024</v>
      </c>
      <c r="N201" s="364">
        <f t="shared" ref="N201:Q201" si="238">N126+N133+N139+N147+N160+N165+N187+N200</f>
        <v>4327194.7207170669</v>
      </c>
      <c r="O201" s="364">
        <f t="shared" si="238"/>
        <v>3945140.7603243496</v>
      </c>
      <c r="P201" s="364">
        <f t="shared" si="238"/>
        <v>2706050.7074923529</v>
      </c>
      <c r="Q201" s="364">
        <f t="shared" si="238"/>
        <v>2283346.9039942026</v>
      </c>
      <c r="R201" s="364">
        <f t="shared" ref="R201" si="239">R126+R133+R139+R147+R160+R165+R187+R200</f>
        <v>2401583.6144467033</v>
      </c>
      <c r="S201" s="364">
        <f>SUM(M201:R201)</f>
        <v>19244283.7454127</v>
      </c>
    </row>
    <row r="202" spans="1:19" ht="41.25" customHeight="1">
      <c r="B202" s="818" t="s">
        <v>1157</v>
      </c>
      <c r="C202" s="818"/>
      <c r="D202" s="818"/>
      <c r="E202" s="818"/>
      <c r="F202" s="818"/>
      <c r="G202" s="818"/>
      <c r="H202" s="818"/>
      <c r="I202" s="818"/>
      <c r="J202" s="818"/>
      <c r="K202" s="818"/>
      <c r="L202" s="818"/>
      <c r="M202" s="818"/>
      <c r="N202" s="818"/>
      <c r="O202" s="818"/>
      <c r="P202" s="818"/>
      <c r="Q202" s="818"/>
      <c r="R202" s="818"/>
      <c r="S202" s="818"/>
    </row>
    <row r="203" spans="1:19" ht="24.75" customHeight="1">
      <c r="B203" s="820" t="s">
        <v>0</v>
      </c>
      <c r="C203" s="820" t="s">
        <v>1</v>
      </c>
      <c r="D203" s="820" t="s">
        <v>2</v>
      </c>
      <c r="E203" s="820"/>
      <c r="F203" s="820"/>
      <c r="G203" s="820"/>
      <c r="H203" s="820"/>
      <c r="I203" s="820"/>
      <c r="J203" s="648"/>
      <c r="K203" s="821" t="s">
        <v>344</v>
      </c>
      <c r="L203" s="544"/>
      <c r="M203" s="819"/>
      <c r="N203" s="819"/>
      <c r="O203" s="819"/>
      <c r="P203" s="819"/>
      <c r="Q203" s="819"/>
      <c r="R203" s="649"/>
      <c r="S203" s="819" t="s">
        <v>345</v>
      </c>
    </row>
    <row r="204" spans="1:19" ht="35.450000000000003" customHeight="1">
      <c r="B204" s="820"/>
      <c r="C204" s="820"/>
      <c r="D204" s="820"/>
      <c r="E204" s="58">
        <f>E8</f>
        <v>2018</v>
      </c>
      <c r="F204" s="58">
        <f t="shared" ref="F204:J204" si="240">F8</f>
        <v>2019</v>
      </c>
      <c r="G204" s="58">
        <f t="shared" si="240"/>
        <v>2020</v>
      </c>
      <c r="H204" s="58">
        <f t="shared" si="240"/>
        <v>2021</v>
      </c>
      <c r="I204" s="58">
        <f t="shared" si="240"/>
        <v>2022</v>
      </c>
      <c r="J204" s="58">
        <f t="shared" si="240"/>
        <v>2023</v>
      </c>
      <c r="K204" s="821"/>
      <c r="L204" s="544"/>
      <c r="M204" s="653">
        <v>2018</v>
      </c>
      <c r="N204" s="653">
        <v>2019</v>
      </c>
      <c r="O204" s="653">
        <v>2020</v>
      </c>
      <c r="P204" s="653">
        <v>2021</v>
      </c>
      <c r="Q204" s="653">
        <v>2022</v>
      </c>
      <c r="R204" s="653">
        <v>2023</v>
      </c>
      <c r="S204" s="819"/>
    </row>
    <row r="205" spans="1:19" ht="26.25" customHeight="1">
      <c r="B205" s="817" t="s">
        <v>291</v>
      </c>
      <c r="C205" s="817"/>
      <c r="D205" s="817"/>
      <c r="E205" s="817"/>
      <c r="F205" s="817"/>
      <c r="G205" s="817"/>
      <c r="H205" s="817"/>
      <c r="I205" s="817"/>
      <c r="J205" s="817"/>
      <c r="K205" s="817"/>
      <c r="L205" s="817"/>
      <c r="M205" s="817"/>
      <c r="N205" s="817"/>
      <c r="O205" s="817"/>
      <c r="P205" s="817"/>
      <c r="Q205" s="817"/>
      <c r="R205" s="817"/>
      <c r="S205" s="817"/>
    </row>
    <row r="206" spans="1:19" ht="35.450000000000003" customHeight="1">
      <c r="B206" s="15" t="s">
        <v>49</v>
      </c>
      <c r="C206" s="494" t="s">
        <v>271</v>
      </c>
      <c r="D206" s="37" t="s">
        <v>50</v>
      </c>
      <c r="E206" s="37">
        <f>'Impl plan'!E180</f>
        <v>1</v>
      </c>
      <c r="F206" s="568">
        <f>'Impl plan'!F180</f>
        <v>1</v>
      </c>
      <c r="G206" s="568">
        <f>'Impl plan'!G180</f>
        <v>1</v>
      </c>
      <c r="H206" s="568">
        <f>'Impl plan'!H180</f>
        <v>1</v>
      </c>
      <c r="I206" s="568">
        <f>'Impl plan'!I180</f>
        <v>1</v>
      </c>
      <c r="J206" s="652">
        <f>'Impl plan'!J180</f>
        <v>1</v>
      </c>
      <c r="K206" s="358">
        <f>'Unit Cost'!G1605</f>
        <v>5117.1875</v>
      </c>
      <c r="L206" s="517">
        <v>0.05</v>
      </c>
      <c r="M206" s="493">
        <f t="shared" ref="M206:M212" si="241">E206*$K206*M$10</f>
        <v>5117.1875</v>
      </c>
      <c r="N206" s="493">
        <f t="shared" ref="N206" si="242">F206*$K206*N$10</f>
        <v>5373.046875</v>
      </c>
      <c r="O206" s="493">
        <f t="shared" ref="O206" si="243">G206*$K206*O$10</f>
        <v>5641.69921875</v>
      </c>
      <c r="P206" s="493">
        <f t="shared" ref="P206" si="244">H206*$K206*P$10</f>
        <v>5923.7841796875009</v>
      </c>
      <c r="Q206" s="493">
        <f t="shared" ref="Q206:R206" si="245">I206*$K206*Q$10</f>
        <v>6219.9733886718759</v>
      </c>
      <c r="R206" s="493">
        <f t="shared" si="245"/>
        <v>6530.9720581054708</v>
      </c>
      <c r="S206" s="358">
        <f>SUM(M206:R206)</f>
        <v>34806.663220214847</v>
      </c>
    </row>
    <row r="207" spans="1:19" ht="36.75" customHeight="1">
      <c r="B207" s="15" t="s">
        <v>51</v>
      </c>
      <c r="C207" s="494" t="s">
        <v>316</v>
      </c>
      <c r="D207" s="37"/>
      <c r="E207" s="37"/>
      <c r="F207" s="37"/>
      <c r="G207" s="37"/>
      <c r="H207" s="37"/>
      <c r="I207" s="37"/>
      <c r="J207" s="652"/>
      <c r="K207" s="267"/>
      <c r="L207" s="555"/>
      <c r="M207" s="358">
        <f>SUM(M208:M209)</f>
        <v>400000</v>
      </c>
      <c r="N207" s="358">
        <f t="shared" ref="N207:Q207" si="246">SUM(N208:N209)</f>
        <v>420000</v>
      </c>
      <c r="O207" s="358">
        <f t="shared" si="246"/>
        <v>441000</v>
      </c>
      <c r="P207" s="358">
        <f t="shared" si="246"/>
        <v>0</v>
      </c>
      <c r="Q207" s="358">
        <f t="shared" si="246"/>
        <v>972405.00000000023</v>
      </c>
      <c r="R207" s="358">
        <f t="shared" ref="R207" si="247">SUM(R208:R209)</f>
        <v>1021025.2500000002</v>
      </c>
      <c r="S207" s="358">
        <f>SUM(M207:R207)</f>
        <v>3254430.25</v>
      </c>
    </row>
    <row r="208" spans="1:19" ht="36.75" customHeight="1">
      <c r="B208" s="15" t="s">
        <v>1021</v>
      </c>
      <c r="C208" s="494" t="s">
        <v>1022</v>
      </c>
      <c r="D208" s="37" t="s">
        <v>50</v>
      </c>
      <c r="E208" s="37">
        <f>'Impl plan'!E182</f>
        <v>1</v>
      </c>
      <c r="F208" s="568">
        <f>'Impl plan'!F182</f>
        <v>0</v>
      </c>
      <c r="G208" s="568">
        <f>'Impl plan'!G182</f>
        <v>1</v>
      </c>
      <c r="H208" s="568">
        <f>'Impl plan'!H182</f>
        <v>0</v>
      </c>
      <c r="I208" s="568">
        <f>'Impl plan'!I182</f>
        <v>1</v>
      </c>
      <c r="J208" s="652">
        <f>'Impl plan'!J182</f>
        <v>1</v>
      </c>
      <c r="K208" s="267">
        <f>'Unit Cost'!G1611</f>
        <v>400000</v>
      </c>
      <c r="L208" s="517">
        <v>0.05</v>
      </c>
      <c r="M208" s="493">
        <f t="shared" ref="M208:M209" si="248">E208*$K208*M$10</f>
        <v>400000</v>
      </c>
      <c r="N208" s="493">
        <f t="shared" ref="N208:N212" si="249">F208*$K208*N$10</f>
        <v>0</v>
      </c>
      <c r="O208" s="493">
        <f t="shared" ref="O208:O212" si="250">G208*$K208*O$10</f>
        <v>441000</v>
      </c>
      <c r="P208" s="493">
        <f t="shared" ref="P208:P212" si="251">H208*$K208*P$10</f>
        <v>0</v>
      </c>
      <c r="Q208" s="493">
        <f t="shared" ref="Q208:R212" si="252">I208*$K208*Q$10</f>
        <v>486202.50000000012</v>
      </c>
      <c r="R208" s="493">
        <f t="shared" si="252"/>
        <v>510512.62500000012</v>
      </c>
      <c r="S208" s="358">
        <f t="shared" ref="S208:S212" si="253">SUM(M208:R208)</f>
        <v>1837715.125</v>
      </c>
    </row>
    <row r="209" spans="1:19" ht="36.75" customHeight="1">
      <c r="B209" s="15" t="s">
        <v>1023</v>
      </c>
      <c r="C209" s="494" t="s">
        <v>1025</v>
      </c>
      <c r="D209" s="37" t="s">
        <v>50</v>
      </c>
      <c r="E209" s="37">
        <f>'Impl plan'!E183</f>
        <v>0</v>
      </c>
      <c r="F209" s="568">
        <f>'Impl plan'!F183</f>
        <v>1</v>
      </c>
      <c r="G209" s="568">
        <f>'Impl plan'!G183</f>
        <v>0</v>
      </c>
      <c r="H209" s="568">
        <f>'Impl plan'!H183</f>
        <v>0</v>
      </c>
      <c r="I209" s="568">
        <f>'Impl plan'!I183</f>
        <v>1</v>
      </c>
      <c r="J209" s="652">
        <f>'Impl plan'!J183</f>
        <v>1</v>
      </c>
      <c r="K209" s="267">
        <f>'Unit Cost'!G1612</f>
        <v>400000</v>
      </c>
      <c r="L209" s="517">
        <v>0.05</v>
      </c>
      <c r="M209" s="493">
        <f t="shared" si="248"/>
        <v>0</v>
      </c>
      <c r="N209" s="493">
        <f t="shared" si="249"/>
        <v>420000</v>
      </c>
      <c r="O209" s="493">
        <f t="shared" si="250"/>
        <v>0</v>
      </c>
      <c r="P209" s="493">
        <f t="shared" si="251"/>
        <v>0</v>
      </c>
      <c r="Q209" s="493">
        <f t="shared" si="252"/>
        <v>486202.50000000012</v>
      </c>
      <c r="R209" s="493">
        <f t="shared" si="252"/>
        <v>510512.62500000012</v>
      </c>
      <c r="S209" s="358">
        <f t="shared" si="253"/>
        <v>1416715.1250000002</v>
      </c>
    </row>
    <row r="210" spans="1:19" ht="27" customHeight="1">
      <c r="B210" s="15" t="s">
        <v>52</v>
      </c>
      <c r="C210" s="494" t="s">
        <v>53</v>
      </c>
      <c r="D210" s="37" t="s">
        <v>24</v>
      </c>
      <c r="E210" s="37">
        <f>'Impl plan'!E184</f>
        <v>1</v>
      </c>
      <c r="F210" s="568">
        <f>'Impl plan'!F184</f>
        <v>0</v>
      </c>
      <c r="G210" s="568">
        <f>'Impl plan'!G184</f>
        <v>0</v>
      </c>
      <c r="H210" s="568">
        <f>'Impl plan'!H184</f>
        <v>0</v>
      </c>
      <c r="I210" s="568">
        <f>'Impl plan'!I184</f>
        <v>0</v>
      </c>
      <c r="J210" s="652">
        <f>'Impl plan'!J184</f>
        <v>0</v>
      </c>
      <c r="K210" s="267">
        <f>'Unit Cost'!G1619</f>
        <v>780000</v>
      </c>
      <c r="L210" s="555">
        <v>0.05</v>
      </c>
      <c r="M210" s="493">
        <f t="shared" si="241"/>
        <v>780000</v>
      </c>
      <c r="N210" s="493">
        <f t="shared" si="249"/>
        <v>0</v>
      </c>
      <c r="O210" s="493">
        <f t="shared" si="250"/>
        <v>0</v>
      </c>
      <c r="P210" s="493">
        <f t="shared" si="251"/>
        <v>0</v>
      </c>
      <c r="Q210" s="493">
        <f t="shared" si="252"/>
        <v>0</v>
      </c>
      <c r="R210" s="493">
        <f t="shared" si="252"/>
        <v>0</v>
      </c>
      <c r="S210" s="358">
        <f t="shared" si="253"/>
        <v>780000</v>
      </c>
    </row>
    <row r="211" spans="1:19" ht="22.5" customHeight="1">
      <c r="B211" s="15" t="s">
        <v>293</v>
      </c>
      <c r="C211" s="494" t="s">
        <v>57</v>
      </c>
      <c r="D211" s="37" t="s">
        <v>24</v>
      </c>
      <c r="E211" s="37">
        <f>'Impl plan'!E185</f>
        <v>0</v>
      </c>
      <c r="F211" s="568">
        <f>'Impl plan'!F185</f>
        <v>1</v>
      </c>
      <c r="G211" s="568">
        <f>'Impl plan'!G185</f>
        <v>0</v>
      </c>
      <c r="H211" s="568">
        <f>'Impl plan'!H185</f>
        <v>0</v>
      </c>
      <c r="I211" s="568">
        <f>'Impl plan'!I185</f>
        <v>0</v>
      </c>
      <c r="J211" s="652">
        <f>'Impl plan'!J185</f>
        <v>0</v>
      </c>
      <c r="K211" s="267">
        <f>'Unit Cost'!G1636</f>
        <v>170058.125</v>
      </c>
      <c r="L211" s="555">
        <v>0.05</v>
      </c>
      <c r="M211" s="493">
        <f t="shared" si="241"/>
        <v>0</v>
      </c>
      <c r="N211" s="493">
        <f t="shared" si="249"/>
        <v>178561.03125</v>
      </c>
      <c r="O211" s="493">
        <f t="shared" si="250"/>
        <v>0</v>
      </c>
      <c r="P211" s="493">
        <f t="shared" si="251"/>
        <v>0</v>
      </c>
      <c r="Q211" s="493">
        <f t="shared" si="252"/>
        <v>0</v>
      </c>
      <c r="R211" s="493">
        <f t="shared" si="252"/>
        <v>0</v>
      </c>
      <c r="S211" s="358">
        <f t="shared" si="253"/>
        <v>178561.03125</v>
      </c>
    </row>
    <row r="212" spans="1:19" ht="22.5" customHeight="1">
      <c r="B212" s="15" t="str">
        <f>'Impl plan'!B186</f>
        <v>4.1.5</v>
      </c>
      <c r="C212" s="494" t="s">
        <v>976</v>
      </c>
      <c r="D212" s="37" t="str">
        <f>'Impl plan'!D186</f>
        <v>No. of study</v>
      </c>
      <c r="E212" s="37">
        <f>'Impl plan'!E186</f>
        <v>0</v>
      </c>
      <c r="F212" s="568">
        <f>'Impl plan'!F186</f>
        <v>0</v>
      </c>
      <c r="G212" s="568">
        <f>'Impl plan'!G186</f>
        <v>1</v>
      </c>
      <c r="H212" s="568">
        <f>'Impl plan'!H186</f>
        <v>0</v>
      </c>
      <c r="I212" s="568">
        <f>'Impl plan'!I186</f>
        <v>0</v>
      </c>
      <c r="J212" s="652">
        <f>'Impl plan'!J186</f>
        <v>0</v>
      </c>
      <c r="K212" s="267">
        <f>'Unit Cost'!G1651</f>
        <v>513012.5</v>
      </c>
      <c r="L212" s="555">
        <v>0.05</v>
      </c>
      <c r="M212" s="493">
        <f t="shared" si="241"/>
        <v>0</v>
      </c>
      <c r="N212" s="493">
        <f t="shared" si="249"/>
        <v>0</v>
      </c>
      <c r="O212" s="493">
        <f t="shared" si="250"/>
        <v>565596.28125</v>
      </c>
      <c r="P212" s="493">
        <f t="shared" si="251"/>
        <v>0</v>
      </c>
      <c r="Q212" s="493">
        <f t="shared" si="252"/>
        <v>0</v>
      </c>
      <c r="R212" s="493">
        <f t="shared" si="252"/>
        <v>0</v>
      </c>
      <c r="S212" s="358">
        <f t="shared" si="253"/>
        <v>565596.28125</v>
      </c>
    </row>
    <row r="213" spans="1:19" s="563" customFormat="1" ht="23.25" customHeight="1">
      <c r="A213" s="40"/>
      <c r="B213" s="532"/>
      <c r="C213" s="532" t="s">
        <v>372</v>
      </c>
      <c r="D213" s="45"/>
      <c r="E213" s="45"/>
      <c r="F213" s="45"/>
      <c r="G213" s="54"/>
      <c r="H213" s="45"/>
      <c r="I213" s="45"/>
      <c r="J213" s="45"/>
      <c r="K213" s="362"/>
      <c r="L213" s="533"/>
      <c r="M213" s="362">
        <f>M206+M207+M210+M211+M212</f>
        <v>1185117.1875</v>
      </c>
      <c r="N213" s="362">
        <f t="shared" ref="N213:Q213" si="254">N206+N207+N210+N211+N212</f>
        <v>603934.078125</v>
      </c>
      <c r="O213" s="362">
        <f t="shared" si="254"/>
        <v>1012237.98046875</v>
      </c>
      <c r="P213" s="362">
        <f t="shared" si="254"/>
        <v>5923.7841796875009</v>
      </c>
      <c r="Q213" s="362">
        <f t="shared" si="254"/>
        <v>978624.97338867211</v>
      </c>
      <c r="R213" s="362">
        <f t="shared" ref="R213" si="255">R206+R207+R210+R211+R212</f>
        <v>1027556.2220581057</v>
      </c>
      <c r="S213" s="362">
        <f>SUM(M213:R213)</f>
        <v>4813394.2257202156</v>
      </c>
    </row>
    <row r="214" spans="1:19" ht="25.5" customHeight="1">
      <c r="B214" s="817" t="s">
        <v>215</v>
      </c>
      <c r="C214" s="817"/>
      <c r="D214" s="817"/>
      <c r="E214" s="817"/>
      <c r="F214" s="817"/>
      <c r="G214" s="817"/>
      <c r="H214" s="817"/>
      <c r="I214" s="817"/>
      <c r="J214" s="817"/>
      <c r="K214" s="817"/>
      <c r="L214" s="817"/>
      <c r="M214" s="817"/>
      <c r="N214" s="817"/>
      <c r="O214" s="817"/>
      <c r="P214" s="817"/>
      <c r="Q214" s="817"/>
      <c r="R214" s="817"/>
      <c r="S214" s="817"/>
    </row>
    <row r="215" spans="1:19" ht="32.25" customHeight="1">
      <c r="B215" s="15" t="s">
        <v>54</v>
      </c>
      <c r="C215" s="494" t="s">
        <v>55</v>
      </c>
      <c r="D215" s="37" t="s">
        <v>24</v>
      </c>
      <c r="E215" s="37">
        <f>'Impl plan'!E188</f>
        <v>0</v>
      </c>
      <c r="F215" s="568">
        <f>'Impl plan'!F188</f>
        <v>1</v>
      </c>
      <c r="G215" s="568">
        <f>'Impl plan'!G188</f>
        <v>0</v>
      </c>
      <c r="H215" s="568">
        <f>'Impl plan'!H188</f>
        <v>1</v>
      </c>
      <c r="I215" s="568">
        <f>'Impl plan'!I188</f>
        <v>0</v>
      </c>
      <c r="J215" s="652">
        <f>'Impl plan'!J188</f>
        <v>0</v>
      </c>
      <c r="K215" s="358">
        <f>'Unit Cost'!G1663</f>
        <v>0</v>
      </c>
      <c r="L215" s="555">
        <v>0.05</v>
      </c>
      <c r="M215" s="493">
        <f t="shared" ref="M215:M218" si="256">E215*$K215*M$10</f>
        <v>0</v>
      </c>
      <c r="N215" s="493">
        <f t="shared" ref="N215:N218" si="257">F215*$K215*N$10</f>
        <v>0</v>
      </c>
      <c r="O215" s="493">
        <f t="shared" ref="O215:O218" si="258">G215*$K215*O$10</f>
        <v>0</v>
      </c>
      <c r="P215" s="493">
        <f t="shared" ref="P215:P218" si="259">H215*$K215*P$10</f>
        <v>0</v>
      </c>
      <c r="Q215" s="493">
        <f t="shared" ref="Q215:R218" si="260">I215*$K215*Q$10</f>
        <v>0</v>
      </c>
      <c r="R215" s="493">
        <f t="shared" si="260"/>
        <v>0</v>
      </c>
      <c r="S215" s="358">
        <f>SUM(M215:R215)</f>
        <v>0</v>
      </c>
    </row>
    <row r="216" spans="1:19" ht="45" customHeight="1">
      <c r="B216" s="15" t="s">
        <v>56</v>
      </c>
      <c r="C216" s="494" t="s">
        <v>58</v>
      </c>
      <c r="D216" s="37" t="s">
        <v>24</v>
      </c>
      <c r="E216" s="37">
        <f>'Impl plan'!E189</f>
        <v>0</v>
      </c>
      <c r="F216" s="568">
        <f>'Impl plan'!F189</f>
        <v>1</v>
      </c>
      <c r="G216" s="568">
        <f>'Impl plan'!G189</f>
        <v>0</v>
      </c>
      <c r="H216" s="568">
        <f>'Impl plan'!H189</f>
        <v>0</v>
      </c>
      <c r="I216" s="568">
        <f>'Impl plan'!I189</f>
        <v>0</v>
      </c>
      <c r="J216" s="652">
        <f>'Impl plan'!J189</f>
        <v>0</v>
      </c>
      <c r="K216" s="358">
        <f>'Unit Cost'!G1671</f>
        <v>0</v>
      </c>
      <c r="L216" s="555">
        <v>0.05</v>
      </c>
      <c r="M216" s="493">
        <f t="shared" si="256"/>
        <v>0</v>
      </c>
      <c r="N216" s="493">
        <f t="shared" si="257"/>
        <v>0</v>
      </c>
      <c r="O216" s="493">
        <f t="shared" si="258"/>
        <v>0</v>
      </c>
      <c r="P216" s="493">
        <f t="shared" si="259"/>
        <v>0</v>
      </c>
      <c r="Q216" s="493">
        <f t="shared" si="260"/>
        <v>0</v>
      </c>
      <c r="R216" s="493">
        <f t="shared" si="260"/>
        <v>0</v>
      </c>
      <c r="S216" s="358">
        <f t="shared" ref="S216:S218" si="261">SUM(M216:R216)</f>
        <v>0</v>
      </c>
    </row>
    <row r="217" spans="1:19" ht="29.45" customHeight="1">
      <c r="B217" s="592" t="s">
        <v>329</v>
      </c>
      <c r="C217" s="588" t="s">
        <v>1114</v>
      </c>
      <c r="D217" s="593" t="s">
        <v>24</v>
      </c>
      <c r="E217" s="593">
        <f>'Impl plan'!E190</f>
        <v>0</v>
      </c>
      <c r="F217" s="593">
        <f>'Impl plan'!F190</f>
        <v>0</v>
      </c>
      <c r="G217" s="593">
        <f>'Impl plan'!G190</f>
        <v>0</v>
      </c>
      <c r="H217" s="593">
        <f>'Impl plan'!H190</f>
        <v>1</v>
      </c>
      <c r="I217" s="593">
        <f>'Impl plan'!I190</f>
        <v>0</v>
      </c>
      <c r="J217" s="652">
        <f>'Impl plan'!J190</f>
        <v>0</v>
      </c>
      <c r="K217" s="358">
        <f>'Unit Cost'!G1680</f>
        <v>95625</v>
      </c>
      <c r="L217" s="555">
        <v>0.05</v>
      </c>
      <c r="M217" s="493">
        <f t="shared" ref="M217" si="262">E217*$K217*M$10</f>
        <v>0</v>
      </c>
      <c r="N217" s="493">
        <f t="shared" si="257"/>
        <v>0</v>
      </c>
      <c r="O217" s="493">
        <f t="shared" si="258"/>
        <v>0</v>
      </c>
      <c r="P217" s="493">
        <f t="shared" si="259"/>
        <v>110697.89062500001</v>
      </c>
      <c r="Q217" s="493">
        <f t="shared" si="260"/>
        <v>0</v>
      </c>
      <c r="R217" s="493">
        <f t="shared" si="260"/>
        <v>0</v>
      </c>
      <c r="S217" s="358">
        <f t="shared" si="261"/>
        <v>110697.89062500001</v>
      </c>
    </row>
    <row r="218" spans="1:19" ht="59.25" customHeight="1">
      <c r="B218" s="15" t="s">
        <v>1113</v>
      </c>
      <c r="C218" s="494" t="s">
        <v>317</v>
      </c>
      <c r="D218" s="37" t="s">
        <v>18</v>
      </c>
      <c r="E218" s="37">
        <f>'Impl plan'!E191</f>
        <v>1</v>
      </c>
      <c r="F218" s="568">
        <f>'Impl plan'!F191</f>
        <v>0</v>
      </c>
      <c r="G218" s="568">
        <f>'Impl plan'!G191</f>
        <v>1</v>
      </c>
      <c r="H218" s="568">
        <f>'Impl plan'!H191</f>
        <v>0</v>
      </c>
      <c r="I218" s="568">
        <f>'Impl plan'!I191</f>
        <v>1</v>
      </c>
      <c r="J218" s="652">
        <f>'Impl plan'!J191</f>
        <v>1</v>
      </c>
      <c r="K218" s="358">
        <f>'Unit Cost'!G1695</f>
        <v>2486.7978515625</v>
      </c>
      <c r="L218" s="517">
        <v>0.05</v>
      </c>
      <c r="M218" s="493">
        <f t="shared" si="256"/>
        <v>2486.7978515625</v>
      </c>
      <c r="N218" s="493">
        <f t="shared" si="257"/>
        <v>0</v>
      </c>
      <c r="O218" s="493">
        <f t="shared" si="258"/>
        <v>2741.6946313476565</v>
      </c>
      <c r="P218" s="493">
        <f t="shared" si="259"/>
        <v>0</v>
      </c>
      <c r="Q218" s="493">
        <f t="shared" si="260"/>
        <v>3022.7183310607916</v>
      </c>
      <c r="R218" s="493">
        <f t="shared" si="260"/>
        <v>3173.8542476138314</v>
      </c>
      <c r="S218" s="358">
        <f t="shared" si="261"/>
        <v>11425.065061584781</v>
      </c>
    </row>
    <row r="219" spans="1:19" s="563" customFormat="1" ht="25.5" customHeight="1">
      <c r="A219" s="40"/>
      <c r="B219" s="532"/>
      <c r="C219" s="532" t="s">
        <v>373</v>
      </c>
      <c r="D219" s="45"/>
      <c r="E219" s="45"/>
      <c r="F219" s="45"/>
      <c r="G219" s="45"/>
      <c r="H219" s="45"/>
      <c r="I219" s="45"/>
      <c r="J219" s="45"/>
      <c r="K219" s="362"/>
      <c r="L219" s="533"/>
      <c r="M219" s="362">
        <f t="shared" ref="M219:R219" si="263">SUM(M215:M218)</f>
        <v>2486.7978515625</v>
      </c>
      <c r="N219" s="362">
        <f t="shared" si="263"/>
        <v>0</v>
      </c>
      <c r="O219" s="362">
        <f t="shared" si="263"/>
        <v>2741.6946313476565</v>
      </c>
      <c r="P219" s="362">
        <f t="shared" si="263"/>
        <v>110697.89062500001</v>
      </c>
      <c r="Q219" s="362">
        <f t="shared" si="263"/>
        <v>3022.7183310607916</v>
      </c>
      <c r="R219" s="362">
        <f t="shared" si="263"/>
        <v>3173.8542476138314</v>
      </c>
      <c r="S219" s="362">
        <f>SUM(M219:R219)</f>
        <v>122122.95568658478</v>
      </c>
    </row>
    <row r="220" spans="1:19" ht="25.5" customHeight="1">
      <c r="B220" s="817" t="s">
        <v>216</v>
      </c>
      <c r="C220" s="817"/>
      <c r="D220" s="817"/>
      <c r="E220" s="817"/>
      <c r="F220" s="817"/>
      <c r="G220" s="817"/>
      <c r="H220" s="817"/>
      <c r="I220" s="817"/>
      <c r="J220" s="817"/>
      <c r="K220" s="817"/>
      <c r="L220" s="817"/>
      <c r="M220" s="817"/>
      <c r="N220" s="817"/>
      <c r="O220" s="817"/>
      <c r="P220" s="817"/>
      <c r="Q220" s="817"/>
      <c r="R220" s="817"/>
      <c r="S220" s="817"/>
    </row>
    <row r="221" spans="1:19" ht="21" customHeight="1">
      <c r="B221" s="15" t="s">
        <v>59</v>
      </c>
      <c r="C221" s="494" t="s">
        <v>318</v>
      </c>
      <c r="D221" s="37" t="s">
        <v>24</v>
      </c>
      <c r="E221" s="37">
        <f>'Impl plan'!E193</f>
        <v>0</v>
      </c>
      <c r="F221" s="568">
        <f>'Impl plan'!F193</f>
        <v>0</v>
      </c>
      <c r="G221" s="568">
        <f>'Impl plan'!G193</f>
        <v>1</v>
      </c>
      <c r="H221" s="568">
        <f>'Impl plan'!H193</f>
        <v>0</v>
      </c>
      <c r="I221" s="568">
        <f>'Impl plan'!I193</f>
        <v>1</v>
      </c>
      <c r="J221" s="652">
        <f>'Impl plan'!J193</f>
        <v>1</v>
      </c>
      <c r="K221" s="358">
        <f>'Unit Cost'!G1702</f>
        <v>0</v>
      </c>
      <c r="L221" s="555">
        <v>0.05</v>
      </c>
      <c r="M221" s="493">
        <f t="shared" ref="M221:M230" si="264">E221*$K221*M$10</f>
        <v>0</v>
      </c>
      <c r="N221" s="493">
        <f t="shared" ref="N221:N230" si="265">F221*$K221*N$10</f>
        <v>0</v>
      </c>
      <c r="O221" s="493">
        <f t="shared" ref="O221:O230" si="266">G221*$K221*O$10</f>
        <v>0</v>
      </c>
      <c r="P221" s="493">
        <f t="shared" ref="P221:P230" si="267">H221*$K221*P$10</f>
        <v>0</v>
      </c>
      <c r="Q221" s="493">
        <f t="shared" ref="Q221:R230" si="268">I221*$K221*Q$10</f>
        <v>0</v>
      </c>
      <c r="R221" s="493">
        <f t="shared" si="268"/>
        <v>0</v>
      </c>
      <c r="S221" s="358">
        <f>SUM(M221:R221)</f>
        <v>0</v>
      </c>
    </row>
    <row r="222" spans="1:19" ht="32.25" customHeight="1">
      <c r="B222" s="15" t="s">
        <v>60</v>
      </c>
      <c r="C222" s="494" t="s">
        <v>319</v>
      </c>
      <c r="D222" s="37" t="s">
        <v>40</v>
      </c>
      <c r="E222" s="37">
        <f>'Impl plan'!E194</f>
        <v>1</v>
      </c>
      <c r="F222" s="568">
        <f>'Impl plan'!F194</f>
        <v>1</v>
      </c>
      <c r="G222" s="568">
        <f>'Impl plan'!G194</f>
        <v>1</v>
      </c>
      <c r="H222" s="568">
        <f>'Impl plan'!H194</f>
        <v>1</v>
      </c>
      <c r="I222" s="568">
        <f>'Impl plan'!I194</f>
        <v>1</v>
      </c>
      <c r="J222" s="652">
        <f>'Impl plan'!J194</f>
        <v>1</v>
      </c>
      <c r="K222" s="358">
        <f>'Unit Cost'!G1714</f>
        <v>11484.375</v>
      </c>
      <c r="L222" s="517">
        <v>0.05</v>
      </c>
      <c r="M222" s="493">
        <f t="shared" si="264"/>
        <v>11484.375</v>
      </c>
      <c r="N222" s="493">
        <f t="shared" si="265"/>
        <v>12058.59375</v>
      </c>
      <c r="O222" s="493">
        <f t="shared" si="266"/>
        <v>12661.5234375</v>
      </c>
      <c r="P222" s="493">
        <f t="shared" si="267"/>
        <v>13294.599609375002</v>
      </c>
      <c r="Q222" s="493">
        <f t="shared" si="268"/>
        <v>13959.329589843752</v>
      </c>
      <c r="R222" s="493">
        <f t="shared" si="268"/>
        <v>14657.296069335942</v>
      </c>
      <c r="S222" s="358">
        <f t="shared" ref="S222:S230" si="269">SUM(M222:R222)</f>
        <v>78115.717456054699</v>
      </c>
    </row>
    <row r="223" spans="1:19" ht="35.25" customHeight="1">
      <c r="B223" s="15" t="s">
        <v>63</v>
      </c>
      <c r="C223" s="494" t="s">
        <v>320</v>
      </c>
      <c r="D223" s="37" t="s">
        <v>18</v>
      </c>
      <c r="E223" s="37">
        <f>'Impl plan'!E195</f>
        <v>4</v>
      </c>
      <c r="F223" s="568">
        <f>'Impl plan'!F195</f>
        <v>4</v>
      </c>
      <c r="G223" s="568">
        <f>'Impl plan'!G195</f>
        <v>4</v>
      </c>
      <c r="H223" s="568">
        <f>'Impl plan'!H195</f>
        <v>4</v>
      </c>
      <c r="I223" s="568">
        <f>'Impl plan'!I195</f>
        <v>4</v>
      </c>
      <c r="J223" s="652">
        <f>'Impl plan'!J195</f>
        <v>4</v>
      </c>
      <c r="K223" s="358">
        <f>'Unit Cost'!G1727</f>
        <v>1357.6171875</v>
      </c>
      <c r="L223" s="517">
        <v>0.05</v>
      </c>
      <c r="M223" s="493">
        <f t="shared" si="264"/>
        <v>5430.46875</v>
      </c>
      <c r="N223" s="493">
        <f t="shared" si="265"/>
        <v>5701.9921875</v>
      </c>
      <c r="O223" s="493">
        <f t="shared" si="266"/>
        <v>5987.091796875</v>
      </c>
      <c r="P223" s="493">
        <f t="shared" si="267"/>
        <v>6286.4463867187505</v>
      </c>
      <c r="Q223" s="493">
        <f t="shared" si="268"/>
        <v>6600.7687060546887</v>
      </c>
      <c r="R223" s="493">
        <f t="shared" si="268"/>
        <v>6930.8071413574235</v>
      </c>
      <c r="S223" s="358">
        <f t="shared" si="269"/>
        <v>36937.574968505862</v>
      </c>
    </row>
    <row r="224" spans="1:19" ht="44.25" customHeight="1">
      <c r="B224" s="15" t="s">
        <v>64</v>
      </c>
      <c r="C224" s="494" t="s">
        <v>321</v>
      </c>
      <c r="D224" s="37" t="s">
        <v>44</v>
      </c>
      <c r="E224" s="37">
        <f>'Impl plan'!E196</f>
        <v>1</v>
      </c>
      <c r="F224" s="568">
        <f>'Impl plan'!F196</f>
        <v>0</v>
      </c>
      <c r="G224" s="568">
        <f>'Impl plan'!G196</f>
        <v>0</v>
      </c>
      <c r="H224" s="568">
        <f>'Impl plan'!H196</f>
        <v>0</v>
      </c>
      <c r="I224" s="568">
        <f>'Impl plan'!I196</f>
        <v>1</v>
      </c>
      <c r="J224" s="652">
        <f>'Impl plan'!J196</f>
        <v>1</v>
      </c>
      <c r="K224" s="358">
        <f>'Unit Cost'!G1739</f>
        <v>24375</v>
      </c>
      <c r="L224" s="517">
        <v>0.05</v>
      </c>
      <c r="M224" s="493">
        <f t="shared" si="264"/>
        <v>24375</v>
      </c>
      <c r="N224" s="493">
        <f t="shared" si="265"/>
        <v>0</v>
      </c>
      <c r="O224" s="493">
        <f t="shared" si="266"/>
        <v>0</v>
      </c>
      <c r="P224" s="493">
        <f t="shared" si="267"/>
        <v>0</v>
      </c>
      <c r="Q224" s="493">
        <f t="shared" si="268"/>
        <v>29627.964843750007</v>
      </c>
      <c r="R224" s="493">
        <f t="shared" si="268"/>
        <v>31109.363085937508</v>
      </c>
      <c r="S224" s="358">
        <f t="shared" si="269"/>
        <v>85112.327929687512</v>
      </c>
    </row>
    <row r="225" spans="1:19" ht="50.25" customHeight="1">
      <c r="B225" s="15" t="s">
        <v>65</v>
      </c>
      <c r="C225" s="494" t="s">
        <v>322</v>
      </c>
      <c r="D225" s="37" t="s">
        <v>18</v>
      </c>
      <c r="E225" s="37">
        <f>'Impl plan'!E197</f>
        <v>4</v>
      </c>
      <c r="F225" s="568">
        <f>'Impl plan'!F197</f>
        <v>4</v>
      </c>
      <c r="G225" s="568">
        <f>'Impl plan'!G197</f>
        <v>4</v>
      </c>
      <c r="H225" s="568">
        <f>'Impl plan'!H197</f>
        <v>4</v>
      </c>
      <c r="I225" s="568">
        <f>'Impl plan'!I197</f>
        <v>4</v>
      </c>
      <c r="J225" s="652">
        <f>'Impl plan'!J197</f>
        <v>4</v>
      </c>
      <c r="K225" s="358">
        <f>'Unit Cost'!G1752</f>
        <v>2149.8565429687501</v>
      </c>
      <c r="L225" s="517">
        <v>0.05</v>
      </c>
      <c r="M225" s="493">
        <f t="shared" si="264"/>
        <v>8599.4261718750004</v>
      </c>
      <c r="N225" s="493">
        <f t="shared" si="265"/>
        <v>9029.3974804687514</v>
      </c>
      <c r="O225" s="493">
        <f t="shared" si="266"/>
        <v>9480.8673544921876</v>
      </c>
      <c r="P225" s="493">
        <f t="shared" si="267"/>
        <v>9954.9107222167986</v>
      </c>
      <c r="Q225" s="493">
        <f t="shared" si="268"/>
        <v>10452.656258327639</v>
      </c>
      <c r="R225" s="493">
        <f t="shared" si="268"/>
        <v>10975.289071244022</v>
      </c>
      <c r="S225" s="358">
        <f t="shared" si="269"/>
        <v>58492.547058624397</v>
      </c>
    </row>
    <row r="226" spans="1:19" ht="33" customHeight="1">
      <c r="B226" s="15" t="s">
        <v>66</v>
      </c>
      <c r="C226" s="494" t="s">
        <v>323</v>
      </c>
      <c r="D226" s="37" t="s">
        <v>4</v>
      </c>
      <c r="E226" s="37">
        <f>'Impl plan'!E198</f>
        <v>150</v>
      </c>
      <c r="F226" s="568">
        <f>'Impl plan'!F198</f>
        <v>0</v>
      </c>
      <c r="G226" s="568">
        <f>'Impl plan'!G198</f>
        <v>150</v>
      </c>
      <c r="H226" s="568">
        <f>'Impl plan'!H198</f>
        <v>0</v>
      </c>
      <c r="I226" s="568">
        <f>'Impl plan'!I198</f>
        <v>150</v>
      </c>
      <c r="J226" s="652">
        <f>'Impl plan'!J198</f>
        <v>150</v>
      </c>
      <c r="K226" s="358">
        <f>'Unit Cost'!G1767</f>
        <v>156.8634375</v>
      </c>
      <c r="L226" s="517">
        <v>0.05</v>
      </c>
      <c r="M226" s="493">
        <f t="shared" si="264"/>
        <v>23529.515625</v>
      </c>
      <c r="N226" s="493">
        <f t="shared" si="265"/>
        <v>0</v>
      </c>
      <c r="O226" s="493">
        <f t="shared" si="266"/>
        <v>25941.290976562501</v>
      </c>
      <c r="P226" s="493">
        <f t="shared" si="267"/>
        <v>0</v>
      </c>
      <c r="Q226" s="493">
        <f t="shared" si="268"/>
        <v>28600.273301660163</v>
      </c>
      <c r="R226" s="493">
        <f t="shared" si="268"/>
        <v>30030.286966743173</v>
      </c>
      <c r="S226" s="358">
        <f t="shared" si="269"/>
        <v>108101.36686996583</v>
      </c>
    </row>
    <row r="227" spans="1:19" ht="30" customHeight="1">
      <c r="B227" s="15" t="s">
        <v>67</v>
      </c>
      <c r="C227" s="494" t="s">
        <v>324</v>
      </c>
      <c r="D227" s="37" t="s">
        <v>62</v>
      </c>
      <c r="E227" s="37">
        <f>'Impl plan'!E199</f>
        <v>1</v>
      </c>
      <c r="F227" s="568">
        <f>'Impl plan'!F199</f>
        <v>0</v>
      </c>
      <c r="G227" s="568">
        <f>'Impl plan'!G199</f>
        <v>0</v>
      </c>
      <c r="H227" s="568">
        <f>'Impl plan'!H199</f>
        <v>0</v>
      </c>
      <c r="I227" s="568">
        <f>'Impl plan'!I199</f>
        <v>1</v>
      </c>
      <c r="J227" s="652">
        <f>'Impl plan'!J199</f>
        <v>1</v>
      </c>
      <c r="K227" s="358">
        <f>'Unit Cost'!G1776</f>
        <v>12796.875</v>
      </c>
      <c r="L227" s="517">
        <v>0.05</v>
      </c>
      <c r="M227" s="493">
        <f t="shared" si="264"/>
        <v>12796.875</v>
      </c>
      <c r="N227" s="493">
        <f t="shared" si="265"/>
        <v>0</v>
      </c>
      <c r="O227" s="493">
        <f t="shared" si="266"/>
        <v>0</v>
      </c>
      <c r="P227" s="493">
        <f t="shared" si="267"/>
        <v>0</v>
      </c>
      <c r="Q227" s="493">
        <f t="shared" si="268"/>
        <v>15554.681542968752</v>
      </c>
      <c r="R227" s="493">
        <f t="shared" si="268"/>
        <v>16332.415620117192</v>
      </c>
      <c r="S227" s="358">
        <f t="shared" si="269"/>
        <v>44683.972163085942</v>
      </c>
    </row>
    <row r="228" spans="1:19" ht="32.25" customHeight="1">
      <c r="B228" s="15" t="s">
        <v>68</v>
      </c>
      <c r="C228" s="642" t="s">
        <v>1145</v>
      </c>
      <c r="D228" s="37" t="s">
        <v>71</v>
      </c>
      <c r="E228" s="37">
        <f>'Impl plan'!E200</f>
        <v>8</v>
      </c>
      <c r="F228" s="568">
        <f>'Impl plan'!F200</f>
        <v>8</v>
      </c>
      <c r="G228" s="568">
        <f>'Impl plan'!G200</f>
        <v>8</v>
      </c>
      <c r="H228" s="568">
        <f>'Impl plan'!H200</f>
        <v>8</v>
      </c>
      <c r="I228" s="568">
        <f>'Impl plan'!I200</f>
        <v>8</v>
      </c>
      <c r="J228" s="652">
        <f>'Impl plan'!J200</f>
        <v>8</v>
      </c>
      <c r="K228" s="358">
        <f>'Unit Cost'!G1787</f>
        <v>300</v>
      </c>
      <c r="L228" s="517">
        <v>0.05</v>
      </c>
      <c r="M228" s="493">
        <f t="shared" si="264"/>
        <v>2400</v>
      </c>
      <c r="N228" s="493">
        <f t="shared" si="265"/>
        <v>2520</v>
      </c>
      <c r="O228" s="493">
        <f t="shared" si="266"/>
        <v>2646</v>
      </c>
      <c r="P228" s="493">
        <f t="shared" si="267"/>
        <v>2778.3</v>
      </c>
      <c r="Q228" s="493">
        <f t="shared" si="268"/>
        <v>2917.2150000000006</v>
      </c>
      <c r="R228" s="493">
        <f t="shared" si="268"/>
        <v>3063.0757500000009</v>
      </c>
      <c r="S228" s="358">
        <f t="shared" si="269"/>
        <v>16324.590749999999</v>
      </c>
    </row>
    <row r="229" spans="1:19" ht="30" customHeight="1">
      <c r="B229" s="15" t="s">
        <v>69</v>
      </c>
      <c r="C229" s="494" t="s">
        <v>325</v>
      </c>
      <c r="D229" s="37" t="s">
        <v>62</v>
      </c>
      <c r="E229" s="37">
        <f>'Impl plan'!E201</f>
        <v>1</v>
      </c>
      <c r="F229" s="568">
        <f>'Impl plan'!F201</f>
        <v>1</v>
      </c>
      <c r="G229" s="568">
        <f>'Impl plan'!G201</f>
        <v>1</v>
      </c>
      <c r="H229" s="568">
        <f>'Impl plan'!H201</f>
        <v>1</v>
      </c>
      <c r="I229" s="568">
        <f>'Impl plan'!I201</f>
        <v>1</v>
      </c>
      <c r="J229" s="652">
        <f>'Impl plan'!J201</f>
        <v>1</v>
      </c>
      <c r="K229" s="358">
        <f>'Unit Cost'!G1793</f>
        <v>5000</v>
      </c>
      <c r="L229" s="517">
        <v>0.05</v>
      </c>
      <c r="M229" s="493">
        <f t="shared" si="264"/>
        <v>5000</v>
      </c>
      <c r="N229" s="493">
        <f t="shared" si="265"/>
        <v>5250</v>
      </c>
      <c r="O229" s="493">
        <f t="shared" si="266"/>
        <v>5512.5</v>
      </c>
      <c r="P229" s="493">
        <f t="shared" si="267"/>
        <v>5788.1250000000009</v>
      </c>
      <c r="Q229" s="493">
        <f t="shared" si="268"/>
        <v>6077.5312500000009</v>
      </c>
      <c r="R229" s="493">
        <f t="shared" si="268"/>
        <v>6381.4078125000015</v>
      </c>
      <c r="S229" s="358">
        <f t="shared" si="269"/>
        <v>34009.564062500001</v>
      </c>
    </row>
    <row r="230" spans="1:19" ht="42.75" customHeight="1">
      <c r="B230" s="15" t="s">
        <v>70</v>
      </c>
      <c r="C230" s="494" t="s">
        <v>72</v>
      </c>
      <c r="D230" s="37" t="s">
        <v>24</v>
      </c>
      <c r="E230" s="37">
        <f>'Impl plan'!E202</f>
        <v>0</v>
      </c>
      <c r="F230" s="568">
        <f>'Impl plan'!F202</f>
        <v>1</v>
      </c>
      <c r="G230" s="568">
        <f>'Impl plan'!G202</f>
        <v>0</v>
      </c>
      <c r="H230" s="568">
        <f>'Impl plan'!H202</f>
        <v>1</v>
      </c>
      <c r="I230" s="568">
        <f>'Impl plan'!I202</f>
        <v>0</v>
      </c>
      <c r="J230" s="652">
        <f>'Impl plan'!J202</f>
        <v>0</v>
      </c>
      <c r="K230" s="358">
        <f>'Unit Cost'!G1800</f>
        <v>235000</v>
      </c>
      <c r="L230" s="517">
        <v>0.05</v>
      </c>
      <c r="M230" s="493">
        <f t="shared" si="264"/>
        <v>0</v>
      </c>
      <c r="N230" s="493">
        <f t="shared" si="265"/>
        <v>246750</v>
      </c>
      <c r="O230" s="493">
        <f t="shared" si="266"/>
        <v>0</v>
      </c>
      <c r="P230" s="493">
        <f t="shared" si="267"/>
        <v>272041.87500000006</v>
      </c>
      <c r="Q230" s="493">
        <f t="shared" si="268"/>
        <v>0</v>
      </c>
      <c r="R230" s="493">
        <f t="shared" si="268"/>
        <v>0</v>
      </c>
      <c r="S230" s="358">
        <f t="shared" si="269"/>
        <v>518791.87500000006</v>
      </c>
    </row>
    <row r="231" spans="1:19" s="563" customFormat="1" ht="28.5" customHeight="1">
      <c r="A231" s="40"/>
      <c r="B231" s="15"/>
      <c r="C231" s="532" t="s">
        <v>374</v>
      </c>
      <c r="D231" s="45"/>
      <c r="E231" s="45"/>
      <c r="F231" s="45"/>
      <c r="G231" s="54"/>
      <c r="H231" s="45"/>
      <c r="I231" s="45"/>
      <c r="J231" s="45"/>
      <c r="K231" s="362"/>
      <c r="L231" s="533"/>
      <c r="M231" s="362">
        <f>SUM(M221:M230)</f>
        <v>93615.660546875006</v>
      </c>
      <c r="N231" s="362">
        <f t="shared" ref="N231:Q231" si="270">SUM(N221:N230)</f>
        <v>281309.98341796873</v>
      </c>
      <c r="O231" s="362">
        <f t="shared" si="270"/>
        <v>62229.273565429685</v>
      </c>
      <c r="P231" s="362">
        <f t="shared" si="270"/>
        <v>310144.25671831059</v>
      </c>
      <c r="Q231" s="362">
        <f t="shared" si="270"/>
        <v>113790.420492605</v>
      </c>
      <c r="R231" s="362">
        <f t="shared" ref="R231" si="271">SUM(R221:R230)</f>
        <v>119479.94151723525</v>
      </c>
      <c r="S231" s="362">
        <f>SUM(M231:R231)</f>
        <v>980569.53625842417</v>
      </c>
    </row>
    <row r="232" spans="1:19" ht="27" customHeight="1">
      <c r="B232" s="817" t="s">
        <v>217</v>
      </c>
      <c r="C232" s="817"/>
      <c r="D232" s="817"/>
      <c r="E232" s="817"/>
      <c r="F232" s="817"/>
      <c r="G232" s="817"/>
      <c r="H232" s="817"/>
      <c r="I232" s="817"/>
      <c r="J232" s="817"/>
      <c r="K232" s="817"/>
      <c r="L232" s="817"/>
      <c r="M232" s="817"/>
      <c r="N232" s="817"/>
      <c r="O232" s="817"/>
      <c r="P232" s="817"/>
      <c r="Q232" s="817"/>
      <c r="R232" s="817"/>
      <c r="S232" s="817"/>
    </row>
    <row r="233" spans="1:19" s="563" customFormat="1" ht="39" customHeight="1">
      <c r="A233" s="40"/>
      <c r="B233" s="15" t="s">
        <v>330</v>
      </c>
      <c r="C233" s="15" t="s">
        <v>76</v>
      </c>
      <c r="D233" s="39"/>
      <c r="E233" s="39"/>
      <c r="F233" s="39"/>
      <c r="G233" s="36"/>
      <c r="H233" s="39"/>
      <c r="I233" s="39"/>
      <c r="J233" s="646"/>
      <c r="K233" s="358"/>
      <c r="L233" s="517"/>
      <c r="M233" s="358">
        <f t="shared" ref="M233:R233" si="272">M234+M235</f>
        <v>1523.4375</v>
      </c>
      <c r="N233" s="358">
        <f t="shared" si="272"/>
        <v>33653.07421875</v>
      </c>
      <c r="O233" s="358">
        <f t="shared" si="272"/>
        <v>1679.58984375</v>
      </c>
      <c r="P233" s="358">
        <f t="shared" si="272"/>
        <v>1763.5693359375002</v>
      </c>
      <c r="Q233" s="358">
        <f t="shared" si="272"/>
        <v>1851.7478027343755</v>
      </c>
      <c r="R233" s="358">
        <f t="shared" si="272"/>
        <v>1944.3351928710943</v>
      </c>
      <c r="S233" s="358">
        <f>SUM(M233:R233)</f>
        <v>42415.753894042966</v>
      </c>
    </row>
    <row r="234" spans="1:19" ht="24.75" customHeight="1">
      <c r="B234" s="23" t="s">
        <v>331</v>
      </c>
      <c r="C234" s="494" t="s">
        <v>1143</v>
      </c>
      <c r="D234" s="37" t="s">
        <v>40</v>
      </c>
      <c r="E234" s="37">
        <f>'Impl plan'!E205</f>
        <v>0</v>
      </c>
      <c r="F234" s="568">
        <f>'Impl plan'!F205</f>
        <v>1</v>
      </c>
      <c r="G234" s="568">
        <f>'Impl plan'!G205</f>
        <v>0</v>
      </c>
      <c r="H234" s="568">
        <f>'Impl plan'!H205</f>
        <v>0</v>
      </c>
      <c r="I234" s="568">
        <f>'Impl plan'!I205</f>
        <v>0</v>
      </c>
      <c r="J234" s="652">
        <f>'Impl plan'!J205</f>
        <v>0</v>
      </c>
      <c r="K234" s="358">
        <f>'Unit Cost'!G1815</f>
        <v>30527.109375</v>
      </c>
      <c r="L234" s="517">
        <v>0.05</v>
      </c>
      <c r="M234" s="493">
        <f t="shared" ref="M234:M242" si="273">E234*$K234*M$10</f>
        <v>0</v>
      </c>
      <c r="N234" s="493">
        <f t="shared" ref="N234:N242" si="274">F234*$K234*N$10</f>
        <v>32053.46484375</v>
      </c>
      <c r="O234" s="493">
        <f t="shared" ref="O234:O242" si="275">G234*$K234*O$10</f>
        <v>0</v>
      </c>
      <c r="P234" s="493">
        <f t="shared" ref="P234:P242" si="276">H234*$K234*P$10</f>
        <v>0</v>
      </c>
      <c r="Q234" s="493">
        <f t="shared" ref="Q234:R242" si="277">I234*$K234*Q$10</f>
        <v>0</v>
      </c>
      <c r="R234" s="493">
        <f t="shared" si="277"/>
        <v>0</v>
      </c>
      <c r="S234" s="358">
        <f t="shared" ref="S234:S242" si="278">SUM(M234:R234)</f>
        <v>32053.46484375</v>
      </c>
    </row>
    <row r="235" spans="1:19" ht="33" customHeight="1">
      <c r="B235" s="23" t="s">
        <v>332</v>
      </c>
      <c r="C235" s="494" t="s">
        <v>77</v>
      </c>
      <c r="D235" s="37" t="s">
        <v>62</v>
      </c>
      <c r="E235" s="37">
        <f>'Impl plan'!E206</f>
        <v>1</v>
      </c>
      <c r="F235" s="568">
        <f>'Impl plan'!F206</f>
        <v>1</v>
      </c>
      <c r="G235" s="568">
        <f>'Impl plan'!G206</f>
        <v>1</v>
      </c>
      <c r="H235" s="568">
        <f>'Impl plan'!H206</f>
        <v>1</v>
      </c>
      <c r="I235" s="568">
        <f>'Impl plan'!I206</f>
        <v>1</v>
      </c>
      <c r="J235" s="652">
        <f>'Impl plan'!J206</f>
        <v>1</v>
      </c>
      <c r="K235" s="358">
        <f>'Unit Cost'!G1825</f>
        <v>1523.4375</v>
      </c>
      <c r="L235" s="517">
        <v>0.05</v>
      </c>
      <c r="M235" s="493">
        <f>E235*$K235*M$10</f>
        <v>1523.4375</v>
      </c>
      <c r="N235" s="493">
        <f t="shared" si="274"/>
        <v>1599.609375</v>
      </c>
      <c r="O235" s="493">
        <f t="shared" si="275"/>
        <v>1679.58984375</v>
      </c>
      <c r="P235" s="493">
        <f t="shared" si="276"/>
        <v>1763.5693359375002</v>
      </c>
      <c r="Q235" s="493">
        <f t="shared" si="277"/>
        <v>1851.7478027343755</v>
      </c>
      <c r="R235" s="493">
        <f t="shared" si="277"/>
        <v>1944.3351928710943</v>
      </c>
      <c r="S235" s="358">
        <f t="shared" si="278"/>
        <v>10362.289050292969</v>
      </c>
    </row>
    <row r="236" spans="1:19" ht="30" customHeight="1">
      <c r="B236" s="15" t="s">
        <v>73</v>
      </c>
      <c r="C236" s="494" t="s">
        <v>1142</v>
      </c>
      <c r="D236" s="37" t="s">
        <v>40</v>
      </c>
      <c r="E236" s="37">
        <f>'Impl plan'!E207</f>
        <v>1</v>
      </c>
      <c r="F236" s="568">
        <f>'Impl plan'!F207</f>
        <v>1</v>
      </c>
      <c r="G236" s="568">
        <f>'Impl plan'!G207</f>
        <v>1</v>
      </c>
      <c r="H236" s="568">
        <f>'Impl plan'!H207</f>
        <v>1</v>
      </c>
      <c r="I236" s="568">
        <f>'Impl plan'!I207</f>
        <v>1</v>
      </c>
      <c r="J236" s="652">
        <f>'Impl plan'!J207</f>
        <v>1</v>
      </c>
      <c r="K236" s="358">
        <f>'Unit Cost'!G1838</f>
        <v>35806.640625</v>
      </c>
      <c r="L236" s="517">
        <v>0.05</v>
      </c>
      <c r="M236" s="493">
        <f t="shared" si="273"/>
        <v>35806.640625</v>
      </c>
      <c r="N236" s="493">
        <f t="shared" si="274"/>
        <v>37596.97265625</v>
      </c>
      <c r="O236" s="493">
        <f t="shared" si="275"/>
        <v>39476.8212890625</v>
      </c>
      <c r="P236" s="493">
        <f t="shared" si="276"/>
        <v>41450.662353515632</v>
      </c>
      <c r="Q236" s="493">
        <f t="shared" si="277"/>
        <v>43523.195471191415</v>
      </c>
      <c r="R236" s="493">
        <f t="shared" si="277"/>
        <v>45699.355244750986</v>
      </c>
      <c r="S236" s="358">
        <f t="shared" si="278"/>
        <v>243553.64763977053</v>
      </c>
    </row>
    <row r="237" spans="1:19" ht="47.25" customHeight="1">
      <c r="B237" s="15" t="s">
        <v>74</v>
      </c>
      <c r="C237" s="494" t="s">
        <v>296</v>
      </c>
      <c r="D237" s="37" t="s">
        <v>62</v>
      </c>
      <c r="E237" s="37">
        <f>'Impl plan'!E208</f>
        <v>4</v>
      </c>
      <c r="F237" s="568">
        <f>'Impl plan'!F208</f>
        <v>4</v>
      </c>
      <c r="G237" s="568">
        <f>'Impl plan'!G208</f>
        <v>4</v>
      </c>
      <c r="H237" s="568">
        <f>'Impl plan'!H208</f>
        <v>4</v>
      </c>
      <c r="I237" s="568">
        <f>'Impl plan'!I208</f>
        <v>4</v>
      </c>
      <c r="J237" s="652">
        <f>'Impl plan'!J208</f>
        <v>4</v>
      </c>
      <c r="K237" s="358">
        <f>'Unit Cost'!G1852</f>
        <v>4642.96875</v>
      </c>
      <c r="L237" s="517">
        <v>0.05</v>
      </c>
      <c r="M237" s="493">
        <f t="shared" si="273"/>
        <v>18571.875</v>
      </c>
      <c r="N237" s="493">
        <f t="shared" si="274"/>
        <v>19500.46875</v>
      </c>
      <c r="O237" s="493">
        <f t="shared" si="275"/>
        <v>20475.4921875</v>
      </c>
      <c r="P237" s="493">
        <f t="shared" si="276"/>
        <v>21499.266796875003</v>
      </c>
      <c r="Q237" s="493">
        <f t="shared" si="277"/>
        <v>22574.230136718754</v>
      </c>
      <c r="R237" s="493">
        <f t="shared" si="277"/>
        <v>23702.941643554695</v>
      </c>
      <c r="S237" s="358">
        <f t="shared" si="278"/>
        <v>126324.27451464845</v>
      </c>
    </row>
    <row r="238" spans="1:19" ht="32.25" customHeight="1">
      <c r="B238" s="15" t="s">
        <v>75</v>
      </c>
      <c r="C238" s="494" t="s">
        <v>79</v>
      </c>
      <c r="D238" s="37" t="s">
        <v>40</v>
      </c>
      <c r="E238" s="37">
        <f>'Impl plan'!E209</f>
        <v>0</v>
      </c>
      <c r="F238" s="568">
        <f>'Impl plan'!F209</f>
        <v>1</v>
      </c>
      <c r="G238" s="568">
        <f>'Impl plan'!G209</f>
        <v>0</v>
      </c>
      <c r="H238" s="568">
        <f>'Impl plan'!H209</f>
        <v>0</v>
      </c>
      <c r="I238" s="568">
        <f>'Impl plan'!I209</f>
        <v>0</v>
      </c>
      <c r="J238" s="652">
        <f>'Impl plan'!J209</f>
        <v>0</v>
      </c>
      <c r="K238" s="358">
        <f>'Unit Cost'!G1864</f>
        <v>7617.1875</v>
      </c>
      <c r="L238" s="517">
        <v>0.05</v>
      </c>
      <c r="M238" s="493">
        <f t="shared" si="273"/>
        <v>0</v>
      </c>
      <c r="N238" s="493">
        <f t="shared" si="274"/>
        <v>7998.046875</v>
      </c>
      <c r="O238" s="493">
        <f t="shared" si="275"/>
        <v>0</v>
      </c>
      <c r="P238" s="493">
        <f t="shared" si="276"/>
        <v>0</v>
      </c>
      <c r="Q238" s="493">
        <f t="shared" si="277"/>
        <v>0</v>
      </c>
      <c r="R238" s="493">
        <f t="shared" si="277"/>
        <v>0</v>
      </c>
      <c r="S238" s="358">
        <f t="shared" si="278"/>
        <v>7998.046875</v>
      </c>
    </row>
    <row r="239" spans="1:19" ht="48.75" customHeight="1">
      <c r="B239" s="15" t="s">
        <v>78</v>
      </c>
      <c r="C239" s="494" t="s">
        <v>326</v>
      </c>
      <c r="D239" s="37" t="s">
        <v>24</v>
      </c>
      <c r="E239" s="37">
        <f>'Impl plan'!E210</f>
        <v>1</v>
      </c>
      <c r="F239" s="568">
        <f>'Impl plan'!F210</f>
        <v>0</v>
      </c>
      <c r="G239" s="568">
        <f>'Impl plan'!G210</f>
        <v>0</v>
      </c>
      <c r="H239" s="568">
        <f>'Impl plan'!H210</f>
        <v>0</v>
      </c>
      <c r="I239" s="568">
        <f>'Impl plan'!I210</f>
        <v>1</v>
      </c>
      <c r="J239" s="652">
        <f>'Impl plan'!J210</f>
        <v>1</v>
      </c>
      <c r="K239" s="358">
        <f>'Unit Cost'!G1876</f>
        <v>32500</v>
      </c>
      <c r="L239" s="517">
        <v>0.05</v>
      </c>
      <c r="M239" s="493">
        <f t="shared" si="273"/>
        <v>32500</v>
      </c>
      <c r="N239" s="493">
        <f t="shared" si="274"/>
        <v>0</v>
      </c>
      <c r="O239" s="493">
        <f t="shared" si="275"/>
        <v>0</v>
      </c>
      <c r="P239" s="493">
        <f t="shared" si="276"/>
        <v>0</v>
      </c>
      <c r="Q239" s="493">
        <f t="shared" si="277"/>
        <v>39503.953125000007</v>
      </c>
      <c r="R239" s="493">
        <f t="shared" si="277"/>
        <v>41479.150781250013</v>
      </c>
      <c r="S239" s="358">
        <f t="shared" si="278"/>
        <v>113483.10390625001</v>
      </c>
    </row>
    <row r="240" spans="1:19" ht="45.75" customHeight="1">
      <c r="B240" s="15" t="s">
        <v>80</v>
      </c>
      <c r="C240" s="494" t="s">
        <v>327</v>
      </c>
      <c r="D240" s="37" t="s">
        <v>24</v>
      </c>
      <c r="E240" s="37">
        <f>'Impl plan'!E211</f>
        <v>1</v>
      </c>
      <c r="F240" s="568">
        <f>'Impl plan'!F211</f>
        <v>1</v>
      </c>
      <c r="G240" s="568">
        <f>'Impl plan'!G211</f>
        <v>1</v>
      </c>
      <c r="H240" s="568">
        <f>'Impl plan'!H211</f>
        <v>1</v>
      </c>
      <c r="I240" s="568">
        <f>'Impl plan'!I211</f>
        <v>1</v>
      </c>
      <c r="J240" s="652">
        <f>'Impl plan'!J211</f>
        <v>1</v>
      </c>
      <c r="K240" s="358">
        <f>'Unit Cost'!G1887</f>
        <v>12500</v>
      </c>
      <c r="L240" s="517">
        <v>0.05</v>
      </c>
      <c r="M240" s="493">
        <f t="shared" si="273"/>
        <v>12500</v>
      </c>
      <c r="N240" s="493">
        <f t="shared" si="274"/>
        <v>13125</v>
      </c>
      <c r="O240" s="493">
        <f t="shared" si="275"/>
        <v>13781.25</v>
      </c>
      <c r="P240" s="493">
        <f t="shared" si="276"/>
        <v>14470.312500000002</v>
      </c>
      <c r="Q240" s="493">
        <f t="shared" si="277"/>
        <v>15193.828125000004</v>
      </c>
      <c r="R240" s="493">
        <f t="shared" si="277"/>
        <v>15953.519531250004</v>
      </c>
      <c r="S240" s="358">
        <f t="shared" si="278"/>
        <v>85023.91015625</v>
      </c>
    </row>
    <row r="241" spans="1:19" ht="32.25" customHeight="1">
      <c r="B241" s="15" t="s">
        <v>81</v>
      </c>
      <c r="C241" s="494" t="s">
        <v>328</v>
      </c>
      <c r="D241" s="37" t="s">
        <v>62</v>
      </c>
      <c r="E241" s="37">
        <f>'Impl plan'!E212</f>
        <v>1</v>
      </c>
      <c r="F241" s="568">
        <f>'Impl plan'!F212</f>
        <v>1</v>
      </c>
      <c r="G241" s="568">
        <f>'Impl plan'!G212</f>
        <v>1</v>
      </c>
      <c r="H241" s="568">
        <f>'Impl plan'!H212</f>
        <v>1</v>
      </c>
      <c r="I241" s="568">
        <f>'Impl plan'!I212</f>
        <v>1</v>
      </c>
      <c r="J241" s="652">
        <f>'Impl plan'!J212</f>
        <v>1</v>
      </c>
      <c r="K241" s="358">
        <f>'Unit Cost'!G1896</f>
        <v>0</v>
      </c>
      <c r="L241" s="517">
        <v>0.05</v>
      </c>
      <c r="M241" s="493">
        <f t="shared" si="273"/>
        <v>0</v>
      </c>
      <c r="N241" s="493">
        <f t="shared" si="274"/>
        <v>0</v>
      </c>
      <c r="O241" s="493">
        <f t="shared" si="275"/>
        <v>0</v>
      </c>
      <c r="P241" s="493">
        <f t="shared" si="276"/>
        <v>0</v>
      </c>
      <c r="Q241" s="493">
        <f t="shared" si="277"/>
        <v>0</v>
      </c>
      <c r="R241" s="493">
        <f t="shared" si="277"/>
        <v>0</v>
      </c>
      <c r="S241" s="358">
        <f t="shared" si="278"/>
        <v>0</v>
      </c>
    </row>
    <row r="242" spans="1:19" ht="30" customHeight="1">
      <c r="B242" s="15" t="s">
        <v>82</v>
      </c>
      <c r="C242" s="494" t="s">
        <v>289</v>
      </c>
      <c r="D242" s="37" t="s">
        <v>18</v>
      </c>
      <c r="E242" s="37">
        <f>'Impl plan'!E213</f>
        <v>2</v>
      </c>
      <c r="F242" s="568">
        <f>'Impl plan'!F213</f>
        <v>2</v>
      </c>
      <c r="G242" s="568">
        <f>'Impl plan'!G213</f>
        <v>2</v>
      </c>
      <c r="H242" s="568">
        <f>'Impl plan'!H213</f>
        <v>2</v>
      </c>
      <c r="I242" s="568">
        <f>'Impl plan'!I213</f>
        <v>2</v>
      </c>
      <c r="J242" s="652">
        <f>'Impl plan'!J213</f>
        <v>2</v>
      </c>
      <c r="K242" s="358">
        <f>'Unit Cost'!G1910</f>
        <v>2000</v>
      </c>
      <c r="L242" s="517">
        <v>0.05</v>
      </c>
      <c r="M242" s="493">
        <f t="shared" si="273"/>
        <v>4000</v>
      </c>
      <c r="N242" s="493">
        <f t="shared" si="274"/>
        <v>4200</v>
      </c>
      <c r="O242" s="493">
        <f t="shared" si="275"/>
        <v>4410</v>
      </c>
      <c r="P242" s="493">
        <f t="shared" si="276"/>
        <v>4630.5000000000009</v>
      </c>
      <c r="Q242" s="493">
        <f t="shared" si="277"/>
        <v>4862.0250000000005</v>
      </c>
      <c r="R242" s="493">
        <f t="shared" si="277"/>
        <v>5105.1262500000012</v>
      </c>
      <c r="S242" s="358">
        <f t="shared" si="278"/>
        <v>27207.651250000003</v>
      </c>
    </row>
    <row r="243" spans="1:19" ht="22.5" customHeight="1">
      <c r="B243" s="556"/>
      <c r="C243" s="532" t="s">
        <v>375</v>
      </c>
      <c r="D243" s="557"/>
      <c r="E243" s="54"/>
      <c r="F243" s="51"/>
      <c r="G243" s="51"/>
      <c r="H243" s="51"/>
      <c r="I243" s="51"/>
      <c r="J243" s="51"/>
      <c r="K243" s="362"/>
      <c r="L243" s="533"/>
      <c r="M243" s="362">
        <f t="shared" ref="M243:R243" si="279">M233+M236+M237+M238+M239+M240+M241+M242</f>
        <v>104901.953125</v>
      </c>
      <c r="N243" s="362">
        <f t="shared" si="279"/>
        <v>116073.5625</v>
      </c>
      <c r="O243" s="362">
        <f t="shared" si="279"/>
        <v>79823.1533203125</v>
      </c>
      <c r="P243" s="362">
        <f t="shared" si="279"/>
        <v>83814.310986328142</v>
      </c>
      <c r="Q243" s="362">
        <f t="shared" si="279"/>
        <v>127508.97966064455</v>
      </c>
      <c r="R243" s="362">
        <f t="shared" si="279"/>
        <v>133884.42864367677</v>
      </c>
      <c r="S243" s="362">
        <f>SUM(M243:R243)</f>
        <v>646006.38823596202</v>
      </c>
    </row>
    <row r="244" spans="1:19" ht="26.25" customHeight="1">
      <c r="B244" s="558"/>
      <c r="C244" s="542" t="s">
        <v>376</v>
      </c>
      <c r="D244" s="559"/>
      <c r="E244" s="57"/>
      <c r="F244" s="56"/>
      <c r="G244" s="56"/>
      <c r="H244" s="56"/>
      <c r="I244" s="56"/>
      <c r="J244" s="56"/>
      <c r="K244" s="364"/>
      <c r="L244" s="543"/>
      <c r="M244" s="364">
        <f t="shared" ref="M244:R244" si="280">M213+M219+M231+M243</f>
        <v>1386121.5990234376</v>
      </c>
      <c r="N244" s="364">
        <f t="shared" si="280"/>
        <v>1001317.6240429687</v>
      </c>
      <c r="O244" s="364">
        <f t="shared" si="280"/>
        <v>1157032.1019858399</v>
      </c>
      <c r="P244" s="364">
        <f t="shared" si="280"/>
        <v>510580.2425093262</v>
      </c>
      <c r="Q244" s="364">
        <f t="shared" si="280"/>
        <v>1222947.0918729827</v>
      </c>
      <c r="R244" s="364">
        <f t="shared" si="280"/>
        <v>1284094.4464666315</v>
      </c>
      <c r="S244" s="364">
        <f>SUM(M244:R244)</f>
        <v>6562093.1059011864</v>
      </c>
    </row>
    <row r="245" spans="1:19" s="564" customFormat="1" ht="37.5" customHeight="1">
      <c r="A245" s="38"/>
      <c r="B245" s="560"/>
      <c r="C245" s="560" t="s">
        <v>377</v>
      </c>
      <c r="D245" s="560"/>
      <c r="E245" s="560"/>
      <c r="F245" s="560"/>
      <c r="G245" s="560"/>
      <c r="H245" s="560"/>
      <c r="I245" s="560"/>
      <c r="J245" s="560"/>
      <c r="K245" s="561"/>
      <c r="L245" s="562"/>
      <c r="M245" s="561">
        <f>M85+M118+M201+M244</f>
        <v>44808513.418191403</v>
      </c>
      <c r="N245" s="561">
        <f t="shared" ref="N245:R245" si="281">N85+N118+N201+N244</f>
        <v>49442317.35596104</v>
      </c>
      <c r="O245" s="561">
        <f t="shared" si="281"/>
        <v>52052913.966618918</v>
      </c>
      <c r="P245" s="561">
        <f t="shared" si="281"/>
        <v>53619525.648947716</v>
      </c>
      <c r="Q245" s="561">
        <f t="shared" si="281"/>
        <v>57208377.367399767</v>
      </c>
      <c r="R245" s="561">
        <f t="shared" si="281"/>
        <v>61092222.840514995</v>
      </c>
      <c r="S245" s="561">
        <f>SUM(M245:R245)</f>
        <v>318223870.59763384</v>
      </c>
    </row>
  </sheetData>
  <mergeCells count="61">
    <mergeCell ref="B2:S2"/>
    <mergeCell ref="D7:D8"/>
    <mergeCell ref="E7:I7"/>
    <mergeCell ref="B6:S6"/>
    <mergeCell ref="K7:K8"/>
    <mergeCell ref="L7:L8"/>
    <mergeCell ref="B4:S4"/>
    <mergeCell ref="B12:B22"/>
    <mergeCell ref="C12:C22"/>
    <mergeCell ref="B24:B29"/>
    <mergeCell ref="C24:C29"/>
    <mergeCell ref="B7:B8"/>
    <mergeCell ref="C7:C8"/>
    <mergeCell ref="D120:D121"/>
    <mergeCell ref="E120:I120"/>
    <mergeCell ref="B93:S93"/>
    <mergeCell ref="B99:S99"/>
    <mergeCell ref="B119:S119"/>
    <mergeCell ref="B105:S105"/>
    <mergeCell ref="K120:K121"/>
    <mergeCell ref="M120:Q120"/>
    <mergeCell ref="S120:S121"/>
    <mergeCell ref="B120:B121"/>
    <mergeCell ref="C120:C121"/>
    <mergeCell ref="B86:S86"/>
    <mergeCell ref="K87:K88"/>
    <mergeCell ref="S7:S8"/>
    <mergeCell ref="B11:S11"/>
    <mergeCell ref="M7:Q7"/>
    <mergeCell ref="B36:S36"/>
    <mergeCell ref="B63:S63"/>
    <mergeCell ref="B56:S56"/>
    <mergeCell ref="B87:B88"/>
    <mergeCell ref="C87:C88"/>
    <mergeCell ref="D87:D88"/>
    <mergeCell ref="E87:I87"/>
    <mergeCell ref="B31:B32"/>
    <mergeCell ref="C31:C32"/>
    <mergeCell ref="M87:Q87"/>
    <mergeCell ref="S87:S88"/>
    <mergeCell ref="B89:S89"/>
    <mergeCell ref="B214:S214"/>
    <mergeCell ref="B202:S202"/>
    <mergeCell ref="B232:S232"/>
    <mergeCell ref="B220:S220"/>
    <mergeCell ref="M203:Q203"/>
    <mergeCell ref="S203:S204"/>
    <mergeCell ref="B203:B204"/>
    <mergeCell ref="C203:C204"/>
    <mergeCell ref="D203:D204"/>
    <mergeCell ref="E203:I203"/>
    <mergeCell ref="K203:K204"/>
    <mergeCell ref="B166:S166"/>
    <mergeCell ref="B161:S161"/>
    <mergeCell ref="B205:S205"/>
    <mergeCell ref="B188:S188"/>
    <mergeCell ref="B122:S122"/>
    <mergeCell ref="B127:S127"/>
    <mergeCell ref="B134:S134"/>
    <mergeCell ref="B140:S140"/>
    <mergeCell ref="B148:S148"/>
  </mergeCell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2:T36"/>
  <sheetViews>
    <sheetView topLeftCell="A25" zoomScale="80" zoomScaleNormal="80" workbookViewId="0">
      <selection activeCell="Q35" sqref="Q35"/>
    </sheetView>
  </sheetViews>
  <sheetFormatPr defaultRowHeight="29.25" customHeight="1"/>
  <cols>
    <col min="1" max="1" width="4.42578125" style="129" customWidth="1"/>
    <col min="2" max="6" width="9.140625" style="129"/>
    <col min="7" max="7" width="27.85546875" style="129" customWidth="1"/>
    <col min="8" max="9" width="12.7109375" style="129" customWidth="1"/>
    <col min="10" max="10" width="12.28515625" style="129" customWidth="1"/>
    <col min="11" max="11" width="13.7109375" style="129" customWidth="1"/>
    <col min="12" max="13" width="12.28515625" style="129" customWidth="1"/>
    <col min="14" max="14" width="13.42578125" style="129" customWidth="1"/>
    <col min="15" max="15" width="16.85546875" style="129" bestFit="1" customWidth="1"/>
    <col min="16" max="16" width="14.28515625" style="129" customWidth="1"/>
    <col min="17" max="17" width="13.85546875" style="129" customWidth="1"/>
    <col min="18" max="18" width="13.7109375" style="129" customWidth="1"/>
    <col min="19" max="19" width="9.140625" style="129"/>
    <col min="20" max="20" width="15" style="129" bestFit="1" customWidth="1"/>
    <col min="21" max="257" width="9.140625" style="129"/>
    <col min="258" max="258" width="4.42578125" style="129" customWidth="1"/>
    <col min="259" max="264" width="9.140625" style="129"/>
    <col min="265" max="265" width="11.28515625" style="129" bestFit="1" customWidth="1"/>
    <col min="266" max="267" width="12.7109375" style="129" customWidth="1"/>
    <col min="268" max="268" width="11.5703125" style="129" customWidth="1"/>
    <col min="269" max="269" width="12.28515625" style="129" customWidth="1"/>
    <col min="270" max="270" width="13" style="129" customWidth="1"/>
    <col min="271" max="271" width="14" style="129" bestFit="1" customWidth="1"/>
    <col min="272" max="275" width="9.140625" style="129"/>
    <col min="276" max="276" width="15" style="129" bestFit="1" customWidth="1"/>
    <col min="277" max="513" width="9.140625" style="129"/>
    <col min="514" max="514" width="4.42578125" style="129" customWidth="1"/>
    <col min="515" max="520" width="9.140625" style="129"/>
    <col min="521" max="521" width="11.28515625" style="129" bestFit="1" customWidth="1"/>
    <col min="522" max="523" width="12.7109375" style="129" customWidth="1"/>
    <col min="524" max="524" width="11.5703125" style="129" customWidth="1"/>
    <col min="525" max="525" width="12.28515625" style="129" customWidth="1"/>
    <col min="526" max="526" width="13" style="129" customWidth="1"/>
    <col min="527" max="527" width="14" style="129" bestFit="1" customWidth="1"/>
    <col min="528" max="531" width="9.140625" style="129"/>
    <col min="532" max="532" width="15" style="129" bestFit="1" customWidth="1"/>
    <col min="533" max="769" width="9.140625" style="129"/>
    <col min="770" max="770" width="4.42578125" style="129" customWidth="1"/>
    <col min="771" max="776" width="9.140625" style="129"/>
    <col min="777" max="777" width="11.28515625" style="129" bestFit="1" customWidth="1"/>
    <col min="778" max="779" width="12.7109375" style="129" customWidth="1"/>
    <col min="780" max="780" width="11.5703125" style="129" customWidth="1"/>
    <col min="781" max="781" width="12.28515625" style="129" customWidth="1"/>
    <col min="782" max="782" width="13" style="129" customWidth="1"/>
    <col min="783" max="783" width="14" style="129" bestFit="1" customWidth="1"/>
    <col min="784" max="787" width="9.140625" style="129"/>
    <col min="788" max="788" width="15" style="129" bestFit="1" customWidth="1"/>
    <col min="789" max="1025" width="9.140625" style="129"/>
    <col min="1026" max="1026" width="4.42578125" style="129" customWidth="1"/>
    <col min="1027" max="1032" width="9.140625" style="129"/>
    <col min="1033" max="1033" width="11.28515625" style="129" bestFit="1" customWidth="1"/>
    <col min="1034" max="1035" width="12.7109375" style="129" customWidth="1"/>
    <col min="1036" max="1036" width="11.5703125" style="129" customWidth="1"/>
    <col min="1037" max="1037" width="12.28515625" style="129" customWidth="1"/>
    <col min="1038" max="1038" width="13" style="129" customWidth="1"/>
    <col min="1039" max="1039" width="14" style="129" bestFit="1" customWidth="1"/>
    <col min="1040" max="1043" width="9.140625" style="129"/>
    <col min="1044" max="1044" width="15" style="129" bestFit="1" customWidth="1"/>
    <col min="1045" max="1281" width="9.140625" style="129"/>
    <col min="1282" max="1282" width="4.42578125" style="129" customWidth="1"/>
    <col min="1283" max="1288" width="9.140625" style="129"/>
    <col min="1289" max="1289" width="11.28515625" style="129" bestFit="1" customWidth="1"/>
    <col min="1290" max="1291" width="12.7109375" style="129" customWidth="1"/>
    <col min="1292" max="1292" width="11.5703125" style="129" customWidth="1"/>
    <col min="1293" max="1293" width="12.28515625" style="129" customWidth="1"/>
    <col min="1294" max="1294" width="13" style="129" customWidth="1"/>
    <col min="1295" max="1295" width="14" style="129" bestFit="1" customWidth="1"/>
    <col min="1296" max="1299" width="9.140625" style="129"/>
    <col min="1300" max="1300" width="15" style="129" bestFit="1" customWidth="1"/>
    <col min="1301" max="1537" width="9.140625" style="129"/>
    <col min="1538" max="1538" width="4.42578125" style="129" customWidth="1"/>
    <col min="1539" max="1544" width="9.140625" style="129"/>
    <col min="1545" max="1545" width="11.28515625" style="129" bestFit="1" customWidth="1"/>
    <col min="1546" max="1547" width="12.7109375" style="129" customWidth="1"/>
    <col min="1548" max="1548" width="11.5703125" style="129" customWidth="1"/>
    <col min="1549" max="1549" width="12.28515625" style="129" customWidth="1"/>
    <col min="1550" max="1550" width="13" style="129" customWidth="1"/>
    <col min="1551" max="1551" width="14" style="129" bestFit="1" customWidth="1"/>
    <col min="1552" max="1555" width="9.140625" style="129"/>
    <col min="1556" max="1556" width="15" style="129" bestFit="1" customWidth="1"/>
    <col min="1557" max="1793" width="9.140625" style="129"/>
    <col min="1794" max="1794" width="4.42578125" style="129" customWidth="1"/>
    <col min="1795" max="1800" width="9.140625" style="129"/>
    <col min="1801" max="1801" width="11.28515625" style="129" bestFit="1" customWidth="1"/>
    <col min="1802" max="1803" width="12.7109375" style="129" customWidth="1"/>
    <col min="1804" max="1804" width="11.5703125" style="129" customWidth="1"/>
    <col min="1805" max="1805" width="12.28515625" style="129" customWidth="1"/>
    <col min="1806" max="1806" width="13" style="129" customWidth="1"/>
    <col min="1807" max="1807" width="14" style="129" bestFit="1" customWidth="1"/>
    <col min="1808" max="1811" width="9.140625" style="129"/>
    <col min="1812" max="1812" width="15" style="129" bestFit="1" customWidth="1"/>
    <col min="1813" max="2049" width="9.140625" style="129"/>
    <col min="2050" max="2050" width="4.42578125" style="129" customWidth="1"/>
    <col min="2051" max="2056" width="9.140625" style="129"/>
    <col min="2057" max="2057" width="11.28515625" style="129" bestFit="1" customWidth="1"/>
    <col min="2058" max="2059" width="12.7109375" style="129" customWidth="1"/>
    <col min="2060" max="2060" width="11.5703125" style="129" customWidth="1"/>
    <col min="2061" max="2061" width="12.28515625" style="129" customWidth="1"/>
    <col min="2062" max="2062" width="13" style="129" customWidth="1"/>
    <col min="2063" max="2063" width="14" style="129" bestFit="1" customWidth="1"/>
    <col min="2064" max="2067" width="9.140625" style="129"/>
    <col min="2068" max="2068" width="15" style="129" bestFit="1" customWidth="1"/>
    <col min="2069" max="2305" width="9.140625" style="129"/>
    <col min="2306" max="2306" width="4.42578125" style="129" customWidth="1"/>
    <col min="2307" max="2312" width="9.140625" style="129"/>
    <col min="2313" max="2313" width="11.28515625" style="129" bestFit="1" customWidth="1"/>
    <col min="2314" max="2315" width="12.7109375" style="129" customWidth="1"/>
    <col min="2316" max="2316" width="11.5703125" style="129" customWidth="1"/>
    <col min="2317" max="2317" width="12.28515625" style="129" customWidth="1"/>
    <col min="2318" max="2318" width="13" style="129" customWidth="1"/>
    <col min="2319" max="2319" width="14" style="129" bestFit="1" customWidth="1"/>
    <col min="2320" max="2323" width="9.140625" style="129"/>
    <col min="2324" max="2324" width="15" style="129" bestFit="1" customWidth="1"/>
    <col min="2325" max="2561" width="9.140625" style="129"/>
    <col min="2562" max="2562" width="4.42578125" style="129" customWidth="1"/>
    <col min="2563" max="2568" width="9.140625" style="129"/>
    <col min="2569" max="2569" width="11.28515625" style="129" bestFit="1" customWidth="1"/>
    <col min="2570" max="2571" width="12.7109375" style="129" customWidth="1"/>
    <col min="2572" max="2572" width="11.5703125" style="129" customWidth="1"/>
    <col min="2573" max="2573" width="12.28515625" style="129" customWidth="1"/>
    <col min="2574" max="2574" width="13" style="129" customWidth="1"/>
    <col min="2575" max="2575" width="14" style="129" bestFit="1" customWidth="1"/>
    <col min="2576" max="2579" width="9.140625" style="129"/>
    <col min="2580" max="2580" width="15" style="129" bestFit="1" customWidth="1"/>
    <col min="2581" max="2817" width="9.140625" style="129"/>
    <col min="2818" max="2818" width="4.42578125" style="129" customWidth="1"/>
    <col min="2819" max="2824" width="9.140625" style="129"/>
    <col min="2825" max="2825" width="11.28515625" style="129" bestFit="1" customWidth="1"/>
    <col min="2826" max="2827" width="12.7109375" style="129" customWidth="1"/>
    <col min="2828" max="2828" width="11.5703125" style="129" customWidth="1"/>
    <col min="2829" max="2829" width="12.28515625" style="129" customWidth="1"/>
    <col min="2830" max="2830" width="13" style="129" customWidth="1"/>
    <col min="2831" max="2831" width="14" style="129" bestFit="1" customWidth="1"/>
    <col min="2832" max="2835" width="9.140625" style="129"/>
    <col min="2836" max="2836" width="15" style="129" bestFit="1" customWidth="1"/>
    <col min="2837" max="3073" width="9.140625" style="129"/>
    <col min="3074" max="3074" width="4.42578125" style="129" customWidth="1"/>
    <col min="3075" max="3080" width="9.140625" style="129"/>
    <col min="3081" max="3081" width="11.28515625" style="129" bestFit="1" customWidth="1"/>
    <col min="3082" max="3083" width="12.7109375" style="129" customWidth="1"/>
    <col min="3084" max="3084" width="11.5703125" style="129" customWidth="1"/>
    <col min="3085" max="3085" width="12.28515625" style="129" customWidth="1"/>
    <col min="3086" max="3086" width="13" style="129" customWidth="1"/>
    <col min="3087" max="3087" width="14" style="129" bestFit="1" customWidth="1"/>
    <col min="3088" max="3091" width="9.140625" style="129"/>
    <col min="3092" max="3092" width="15" style="129" bestFit="1" customWidth="1"/>
    <col min="3093" max="3329" width="9.140625" style="129"/>
    <col min="3330" max="3330" width="4.42578125" style="129" customWidth="1"/>
    <col min="3331" max="3336" width="9.140625" style="129"/>
    <col min="3337" max="3337" width="11.28515625" style="129" bestFit="1" customWidth="1"/>
    <col min="3338" max="3339" width="12.7109375" style="129" customWidth="1"/>
    <col min="3340" max="3340" width="11.5703125" style="129" customWidth="1"/>
    <col min="3341" max="3341" width="12.28515625" style="129" customWidth="1"/>
    <col min="3342" max="3342" width="13" style="129" customWidth="1"/>
    <col min="3343" max="3343" width="14" style="129" bestFit="1" customWidth="1"/>
    <col min="3344" max="3347" width="9.140625" style="129"/>
    <col min="3348" max="3348" width="15" style="129" bestFit="1" customWidth="1"/>
    <col min="3349" max="3585" width="9.140625" style="129"/>
    <col min="3586" max="3586" width="4.42578125" style="129" customWidth="1"/>
    <col min="3587" max="3592" width="9.140625" style="129"/>
    <col min="3593" max="3593" width="11.28515625" style="129" bestFit="1" customWidth="1"/>
    <col min="3594" max="3595" width="12.7109375" style="129" customWidth="1"/>
    <col min="3596" max="3596" width="11.5703125" style="129" customWidth="1"/>
    <col min="3597" max="3597" width="12.28515625" style="129" customWidth="1"/>
    <col min="3598" max="3598" width="13" style="129" customWidth="1"/>
    <col min="3599" max="3599" width="14" style="129" bestFit="1" customWidth="1"/>
    <col min="3600" max="3603" width="9.140625" style="129"/>
    <col min="3604" max="3604" width="15" style="129" bestFit="1" customWidth="1"/>
    <col min="3605" max="3841" width="9.140625" style="129"/>
    <col min="3842" max="3842" width="4.42578125" style="129" customWidth="1"/>
    <col min="3843" max="3848" width="9.140625" style="129"/>
    <col min="3849" max="3849" width="11.28515625" style="129" bestFit="1" customWidth="1"/>
    <col min="3850" max="3851" width="12.7109375" style="129" customWidth="1"/>
    <col min="3852" max="3852" width="11.5703125" style="129" customWidth="1"/>
    <col min="3853" max="3853" width="12.28515625" style="129" customWidth="1"/>
    <col min="3854" max="3854" width="13" style="129" customWidth="1"/>
    <col min="3855" max="3855" width="14" style="129" bestFit="1" customWidth="1"/>
    <col min="3856" max="3859" width="9.140625" style="129"/>
    <col min="3860" max="3860" width="15" style="129" bestFit="1" customWidth="1"/>
    <col min="3861" max="4097" width="9.140625" style="129"/>
    <col min="4098" max="4098" width="4.42578125" style="129" customWidth="1"/>
    <col min="4099" max="4104" width="9.140625" style="129"/>
    <col min="4105" max="4105" width="11.28515625" style="129" bestFit="1" customWidth="1"/>
    <col min="4106" max="4107" width="12.7109375" style="129" customWidth="1"/>
    <col min="4108" max="4108" width="11.5703125" style="129" customWidth="1"/>
    <col min="4109" max="4109" width="12.28515625" style="129" customWidth="1"/>
    <col min="4110" max="4110" width="13" style="129" customWidth="1"/>
    <col min="4111" max="4111" width="14" style="129" bestFit="1" customWidth="1"/>
    <col min="4112" max="4115" width="9.140625" style="129"/>
    <col min="4116" max="4116" width="15" style="129" bestFit="1" customWidth="1"/>
    <col min="4117" max="4353" width="9.140625" style="129"/>
    <col min="4354" max="4354" width="4.42578125" style="129" customWidth="1"/>
    <col min="4355" max="4360" width="9.140625" style="129"/>
    <col min="4361" max="4361" width="11.28515625" style="129" bestFit="1" customWidth="1"/>
    <col min="4362" max="4363" width="12.7109375" style="129" customWidth="1"/>
    <col min="4364" max="4364" width="11.5703125" style="129" customWidth="1"/>
    <col min="4365" max="4365" width="12.28515625" style="129" customWidth="1"/>
    <col min="4366" max="4366" width="13" style="129" customWidth="1"/>
    <col min="4367" max="4367" width="14" style="129" bestFit="1" customWidth="1"/>
    <col min="4368" max="4371" width="9.140625" style="129"/>
    <col min="4372" max="4372" width="15" style="129" bestFit="1" customWidth="1"/>
    <col min="4373" max="4609" width="9.140625" style="129"/>
    <col min="4610" max="4610" width="4.42578125" style="129" customWidth="1"/>
    <col min="4611" max="4616" width="9.140625" style="129"/>
    <col min="4617" max="4617" width="11.28515625" style="129" bestFit="1" customWidth="1"/>
    <col min="4618" max="4619" width="12.7109375" style="129" customWidth="1"/>
    <col min="4620" max="4620" width="11.5703125" style="129" customWidth="1"/>
    <col min="4621" max="4621" width="12.28515625" style="129" customWidth="1"/>
    <col min="4622" max="4622" width="13" style="129" customWidth="1"/>
    <col min="4623" max="4623" width="14" style="129" bestFit="1" customWidth="1"/>
    <col min="4624" max="4627" width="9.140625" style="129"/>
    <col min="4628" max="4628" width="15" style="129" bestFit="1" customWidth="1"/>
    <col min="4629" max="4865" width="9.140625" style="129"/>
    <col min="4866" max="4866" width="4.42578125" style="129" customWidth="1"/>
    <col min="4867" max="4872" width="9.140625" style="129"/>
    <col min="4873" max="4873" width="11.28515625" style="129" bestFit="1" customWidth="1"/>
    <col min="4874" max="4875" width="12.7109375" style="129" customWidth="1"/>
    <col min="4876" max="4876" width="11.5703125" style="129" customWidth="1"/>
    <col min="4877" max="4877" width="12.28515625" style="129" customWidth="1"/>
    <col min="4878" max="4878" width="13" style="129" customWidth="1"/>
    <col min="4879" max="4879" width="14" style="129" bestFit="1" customWidth="1"/>
    <col min="4880" max="4883" width="9.140625" style="129"/>
    <col min="4884" max="4884" width="15" style="129" bestFit="1" customWidth="1"/>
    <col min="4885" max="5121" width="9.140625" style="129"/>
    <col min="5122" max="5122" width="4.42578125" style="129" customWidth="1"/>
    <col min="5123" max="5128" width="9.140625" style="129"/>
    <col min="5129" max="5129" width="11.28515625" style="129" bestFit="1" customWidth="1"/>
    <col min="5130" max="5131" width="12.7109375" style="129" customWidth="1"/>
    <col min="5132" max="5132" width="11.5703125" style="129" customWidth="1"/>
    <col min="5133" max="5133" width="12.28515625" style="129" customWidth="1"/>
    <col min="5134" max="5134" width="13" style="129" customWidth="1"/>
    <col min="5135" max="5135" width="14" style="129" bestFit="1" customWidth="1"/>
    <col min="5136" max="5139" width="9.140625" style="129"/>
    <col min="5140" max="5140" width="15" style="129" bestFit="1" customWidth="1"/>
    <col min="5141" max="5377" width="9.140625" style="129"/>
    <col min="5378" max="5378" width="4.42578125" style="129" customWidth="1"/>
    <col min="5379" max="5384" width="9.140625" style="129"/>
    <col min="5385" max="5385" width="11.28515625" style="129" bestFit="1" customWidth="1"/>
    <col min="5386" max="5387" width="12.7109375" style="129" customWidth="1"/>
    <col min="5388" max="5388" width="11.5703125" style="129" customWidth="1"/>
    <col min="5389" max="5389" width="12.28515625" style="129" customWidth="1"/>
    <col min="5390" max="5390" width="13" style="129" customWidth="1"/>
    <col min="5391" max="5391" width="14" style="129" bestFit="1" customWidth="1"/>
    <col min="5392" max="5395" width="9.140625" style="129"/>
    <col min="5396" max="5396" width="15" style="129" bestFit="1" customWidth="1"/>
    <col min="5397" max="5633" width="9.140625" style="129"/>
    <col min="5634" max="5634" width="4.42578125" style="129" customWidth="1"/>
    <col min="5635" max="5640" width="9.140625" style="129"/>
    <col min="5641" max="5641" width="11.28515625" style="129" bestFit="1" customWidth="1"/>
    <col min="5642" max="5643" width="12.7109375" style="129" customWidth="1"/>
    <col min="5644" max="5644" width="11.5703125" style="129" customWidth="1"/>
    <col min="5645" max="5645" width="12.28515625" style="129" customWidth="1"/>
    <col min="5646" max="5646" width="13" style="129" customWidth="1"/>
    <col min="5647" max="5647" width="14" style="129" bestFit="1" customWidth="1"/>
    <col min="5648" max="5651" width="9.140625" style="129"/>
    <col min="5652" max="5652" width="15" style="129" bestFit="1" customWidth="1"/>
    <col min="5653" max="5889" width="9.140625" style="129"/>
    <col min="5890" max="5890" width="4.42578125" style="129" customWidth="1"/>
    <col min="5891" max="5896" width="9.140625" style="129"/>
    <col min="5897" max="5897" width="11.28515625" style="129" bestFit="1" customWidth="1"/>
    <col min="5898" max="5899" width="12.7109375" style="129" customWidth="1"/>
    <col min="5900" max="5900" width="11.5703125" style="129" customWidth="1"/>
    <col min="5901" max="5901" width="12.28515625" style="129" customWidth="1"/>
    <col min="5902" max="5902" width="13" style="129" customWidth="1"/>
    <col min="5903" max="5903" width="14" style="129" bestFit="1" customWidth="1"/>
    <col min="5904" max="5907" width="9.140625" style="129"/>
    <col min="5908" max="5908" width="15" style="129" bestFit="1" customWidth="1"/>
    <col min="5909" max="6145" width="9.140625" style="129"/>
    <col min="6146" max="6146" width="4.42578125" style="129" customWidth="1"/>
    <col min="6147" max="6152" width="9.140625" style="129"/>
    <col min="6153" max="6153" width="11.28515625" style="129" bestFit="1" customWidth="1"/>
    <col min="6154" max="6155" width="12.7109375" style="129" customWidth="1"/>
    <col min="6156" max="6156" width="11.5703125" style="129" customWidth="1"/>
    <col min="6157" max="6157" width="12.28515625" style="129" customWidth="1"/>
    <col min="6158" max="6158" width="13" style="129" customWidth="1"/>
    <col min="6159" max="6159" width="14" style="129" bestFit="1" customWidth="1"/>
    <col min="6160" max="6163" width="9.140625" style="129"/>
    <col min="6164" max="6164" width="15" style="129" bestFit="1" customWidth="1"/>
    <col min="6165" max="6401" width="9.140625" style="129"/>
    <col min="6402" max="6402" width="4.42578125" style="129" customWidth="1"/>
    <col min="6403" max="6408" width="9.140625" style="129"/>
    <col min="6409" max="6409" width="11.28515625" style="129" bestFit="1" customWidth="1"/>
    <col min="6410" max="6411" width="12.7109375" style="129" customWidth="1"/>
    <col min="6412" max="6412" width="11.5703125" style="129" customWidth="1"/>
    <col min="6413" max="6413" width="12.28515625" style="129" customWidth="1"/>
    <col min="6414" max="6414" width="13" style="129" customWidth="1"/>
    <col min="6415" max="6415" width="14" style="129" bestFit="1" customWidth="1"/>
    <col min="6416" max="6419" width="9.140625" style="129"/>
    <col min="6420" max="6420" width="15" style="129" bestFit="1" customWidth="1"/>
    <col min="6421" max="6657" width="9.140625" style="129"/>
    <col min="6658" max="6658" width="4.42578125" style="129" customWidth="1"/>
    <col min="6659" max="6664" width="9.140625" style="129"/>
    <col min="6665" max="6665" width="11.28515625" style="129" bestFit="1" customWidth="1"/>
    <col min="6666" max="6667" width="12.7109375" style="129" customWidth="1"/>
    <col min="6668" max="6668" width="11.5703125" style="129" customWidth="1"/>
    <col min="6669" max="6669" width="12.28515625" style="129" customWidth="1"/>
    <col min="6670" max="6670" width="13" style="129" customWidth="1"/>
    <col min="6671" max="6671" width="14" style="129" bestFit="1" customWidth="1"/>
    <col min="6672" max="6675" width="9.140625" style="129"/>
    <col min="6676" max="6676" width="15" style="129" bestFit="1" customWidth="1"/>
    <col min="6677" max="6913" width="9.140625" style="129"/>
    <col min="6914" max="6914" width="4.42578125" style="129" customWidth="1"/>
    <col min="6915" max="6920" width="9.140625" style="129"/>
    <col min="6921" max="6921" width="11.28515625" style="129" bestFit="1" customWidth="1"/>
    <col min="6922" max="6923" width="12.7109375" style="129" customWidth="1"/>
    <col min="6924" max="6924" width="11.5703125" style="129" customWidth="1"/>
    <col min="6925" max="6925" width="12.28515625" style="129" customWidth="1"/>
    <col min="6926" max="6926" width="13" style="129" customWidth="1"/>
    <col min="6927" max="6927" width="14" style="129" bestFit="1" customWidth="1"/>
    <col min="6928" max="6931" width="9.140625" style="129"/>
    <col min="6932" max="6932" width="15" style="129" bestFit="1" customWidth="1"/>
    <col min="6933" max="7169" width="9.140625" style="129"/>
    <col min="7170" max="7170" width="4.42578125" style="129" customWidth="1"/>
    <col min="7171" max="7176" width="9.140625" style="129"/>
    <col min="7177" max="7177" width="11.28515625" style="129" bestFit="1" customWidth="1"/>
    <col min="7178" max="7179" width="12.7109375" style="129" customWidth="1"/>
    <col min="7180" max="7180" width="11.5703125" style="129" customWidth="1"/>
    <col min="7181" max="7181" width="12.28515625" style="129" customWidth="1"/>
    <col min="7182" max="7182" width="13" style="129" customWidth="1"/>
    <col min="7183" max="7183" width="14" style="129" bestFit="1" customWidth="1"/>
    <col min="7184" max="7187" width="9.140625" style="129"/>
    <col min="7188" max="7188" width="15" style="129" bestFit="1" customWidth="1"/>
    <col min="7189" max="7425" width="9.140625" style="129"/>
    <col min="7426" max="7426" width="4.42578125" style="129" customWidth="1"/>
    <col min="7427" max="7432" width="9.140625" style="129"/>
    <col min="7433" max="7433" width="11.28515625" style="129" bestFit="1" customWidth="1"/>
    <col min="7434" max="7435" width="12.7109375" style="129" customWidth="1"/>
    <col min="7436" max="7436" width="11.5703125" style="129" customWidth="1"/>
    <col min="7437" max="7437" width="12.28515625" style="129" customWidth="1"/>
    <col min="7438" max="7438" width="13" style="129" customWidth="1"/>
    <col min="7439" max="7439" width="14" style="129" bestFit="1" customWidth="1"/>
    <col min="7440" max="7443" width="9.140625" style="129"/>
    <col min="7444" max="7444" width="15" style="129" bestFit="1" customWidth="1"/>
    <col min="7445" max="7681" width="9.140625" style="129"/>
    <col min="7682" max="7682" width="4.42578125" style="129" customWidth="1"/>
    <col min="7683" max="7688" width="9.140625" style="129"/>
    <col min="7689" max="7689" width="11.28515625" style="129" bestFit="1" customWidth="1"/>
    <col min="7690" max="7691" width="12.7109375" style="129" customWidth="1"/>
    <col min="7692" max="7692" width="11.5703125" style="129" customWidth="1"/>
    <col min="7693" max="7693" width="12.28515625" style="129" customWidth="1"/>
    <col min="7694" max="7694" width="13" style="129" customWidth="1"/>
    <col min="7695" max="7695" width="14" style="129" bestFit="1" customWidth="1"/>
    <col min="7696" max="7699" width="9.140625" style="129"/>
    <col min="7700" max="7700" width="15" style="129" bestFit="1" customWidth="1"/>
    <col min="7701" max="7937" width="9.140625" style="129"/>
    <col min="7938" max="7938" width="4.42578125" style="129" customWidth="1"/>
    <col min="7939" max="7944" width="9.140625" style="129"/>
    <col min="7945" max="7945" width="11.28515625" style="129" bestFit="1" customWidth="1"/>
    <col min="7946" max="7947" width="12.7109375" style="129" customWidth="1"/>
    <col min="7948" max="7948" width="11.5703125" style="129" customWidth="1"/>
    <col min="7949" max="7949" width="12.28515625" style="129" customWidth="1"/>
    <col min="7950" max="7950" width="13" style="129" customWidth="1"/>
    <col min="7951" max="7951" width="14" style="129" bestFit="1" customWidth="1"/>
    <col min="7952" max="7955" width="9.140625" style="129"/>
    <col min="7956" max="7956" width="15" style="129" bestFit="1" customWidth="1"/>
    <col min="7957" max="8193" width="9.140625" style="129"/>
    <col min="8194" max="8194" width="4.42578125" style="129" customWidth="1"/>
    <col min="8195" max="8200" width="9.140625" style="129"/>
    <col min="8201" max="8201" width="11.28515625" style="129" bestFit="1" customWidth="1"/>
    <col min="8202" max="8203" width="12.7109375" style="129" customWidth="1"/>
    <col min="8204" max="8204" width="11.5703125" style="129" customWidth="1"/>
    <col min="8205" max="8205" width="12.28515625" style="129" customWidth="1"/>
    <col min="8206" max="8206" width="13" style="129" customWidth="1"/>
    <col min="8207" max="8207" width="14" style="129" bestFit="1" customWidth="1"/>
    <col min="8208" max="8211" width="9.140625" style="129"/>
    <col min="8212" max="8212" width="15" style="129" bestFit="1" customWidth="1"/>
    <col min="8213" max="8449" width="9.140625" style="129"/>
    <col min="8450" max="8450" width="4.42578125" style="129" customWidth="1"/>
    <col min="8451" max="8456" width="9.140625" style="129"/>
    <col min="8457" max="8457" width="11.28515625" style="129" bestFit="1" customWidth="1"/>
    <col min="8458" max="8459" width="12.7109375" style="129" customWidth="1"/>
    <col min="8460" max="8460" width="11.5703125" style="129" customWidth="1"/>
    <col min="8461" max="8461" width="12.28515625" style="129" customWidth="1"/>
    <col min="8462" max="8462" width="13" style="129" customWidth="1"/>
    <col min="8463" max="8463" width="14" style="129" bestFit="1" customWidth="1"/>
    <col min="8464" max="8467" width="9.140625" style="129"/>
    <col min="8468" max="8468" width="15" style="129" bestFit="1" customWidth="1"/>
    <col min="8469" max="8705" width="9.140625" style="129"/>
    <col min="8706" max="8706" width="4.42578125" style="129" customWidth="1"/>
    <col min="8707" max="8712" width="9.140625" style="129"/>
    <col min="8713" max="8713" width="11.28515625" style="129" bestFit="1" customWidth="1"/>
    <col min="8714" max="8715" width="12.7109375" style="129" customWidth="1"/>
    <col min="8716" max="8716" width="11.5703125" style="129" customWidth="1"/>
    <col min="8717" max="8717" width="12.28515625" style="129" customWidth="1"/>
    <col min="8718" max="8718" width="13" style="129" customWidth="1"/>
    <col min="8719" max="8719" width="14" style="129" bestFit="1" customWidth="1"/>
    <col min="8720" max="8723" width="9.140625" style="129"/>
    <col min="8724" max="8724" width="15" style="129" bestFit="1" customWidth="1"/>
    <col min="8725" max="8961" width="9.140625" style="129"/>
    <col min="8962" max="8962" width="4.42578125" style="129" customWidth="1"/>
    <col min="8963" max="8968" width="9.140625" style="129"/>
    <col min="8969" max="8969" width="11.28515625" style="129" bestFit="1" customWidth="1"/>
    <col min="8970" max="8971" width="12.7109375" style="129" customWidth="1"/>
    <col min="8972" max="8972" width="11.5703125" style="129" customWidth="1"/>
    <col min="8973" max="8973" width="12.28515625" style="129" customWidth="1"/>
    <col min="8974" max="8974" width="13" style="129" customWidth="1"/>
    <col min="8975" max="8975" width="14" style="129" bestFit="1" customWidth="1"/>
    <col min="8976" max="8979" width="9.140625" style="129"/>
    <col min="8980" max="8980" width="15" style="129" bestFit="1" customWidth="1"/>
    <col min="8981" max="9217" width="9.140625" style="129"/>
    <col min="9218" max="9218" width="4.42578125" style="129" customWidth="1"/>
    <col min="9219" max="9224" width="9.140625" style="129"/>
    <col min="9225" max="9225" width="11.28515625" style="129" bestFit="1" customWidth="1"/>
    <col min="9226" max="9227" width="12.7109375" style="129" customWidth="1"/>
    <col min="9228" max="9228" width="11.5703125" style="129" customWidth="1"/>
    <col min="9229" max="9229" width="12.28515625" style="129" customWidth="1"/>
    <col min="9230" max="9230" width="13" style="129" customWidth="1"/>
    <col min="9231" max="9231" width="14" style="129" bestFit="1" customWidth="1"/>
    <col min="9232" max="9235" width="9.140625" style="129"/>
    <col min="9236" max="9236" width="15" style="129" bestFit="1" customWidth="1"/>
    <col min="9237" max="9473" width="9.140625" style="129"/>
    <col min="9474" max="9474" width="4.42578125" style="129" customWidth="1"/>
    <col min="9475" max="9480" width="9.140625" style="129"/>
    <col min="9481" max="9481" width="11.28515625" style="129" bestFit="1" customWidth="1"/>
    <col min="9482" max="9483" width="12.7109375" style="129" customWidth="1"/>
    <col min="9484" max="9484" width="11.5703125" style="129" customWidth="1"/>
    <col min="9485" max="9485" width="12.28515625" style="129" customWidth="1"/>
    <col min="9486" max="9486" width="13" style="129" customWidth="1"/>
    <col min="9487" max="9487" width="14" style="129" bestFit="1" customWidth="1"/>
    <col min="9488" max="9491" width="9.140625" style="129"/>
    <col min="9492" max="9492" width="15" style="129" bestFit="1" customWidth="1"/>
    <col min="9493" max="9729" width="9.140625" style="129"/>
    <col min="9730" max="9730" width="4.42578125" style="129" customWidth="1"/>
    <col min="9731" max="9736" width="9.140625" style="129"/>
    <col min="9737" max="9737" width="11.28515625" style="129" bestFit="1" customWidth="1"/>
    <col min="9738" max="9739" width="12.7109375" style="129" customWidth="1"/>
    <col min="9740" max="9740" width="11.5703125" style="129" customWidth="1"/>
    <col min="9741" max="9741" width="12.28515625" style="129" customWidth="1"/>
    <col min="9742" max="9742" width="13" style="129" customWidth="1"/>
    <col min="9743" max="9743" width="14" style="129" bestFit="1" customWidth="1"/>
    <col min="9744" max="9747" width="9.140625" style="129"/>
    <col min="9748" max="9748" width="15" style="129" bestFit="1" customWidth="1"/>
    <col min="9749" max="9985" width="9.140625" style="129"/>
    <col min="9986" max="9986" width="4.42578125" style="129" customWidth="1"/>
    <col min="9987" max="9992" width="9.140625" style="129"/>
    <col min="9993" max="9993" width="11.28515625" style="129" bestFit="1" customWidth="1"/>
    <col min="9994" max="9995" width="12.7109375" style="129" customWidth="1"/>
    <col min="9996" max="9996" width="11.5703125" style="129" customWidth="1"/>
    <col min="9997" max="9997" width="12.28515625" style="129" customWidth="1"/>
    <col min="9998" max="9998" width="13" style="129" customWidth="1"/>
    <col min="9999" max="9999" width="14" style="129" bestFit="1" customWidth="1"/>
    <col min="10000" max="10003" width="9.140625" style="129"/>
    <col min="10004" max="10004" width="15" style="129" bestFit="1" customWidth="1"/>
    <col min="10005" max="10241" width="9.140625" style="129"/>
    <col min="10242" max="10242" width="4.42578125" style="129" customWidth="1"/>
    <col min="10243" max="10248" width="9.140625" style="129"/>
    <col min="10249" max="10249" width="11.28515625" style="129" bestFit="1" customWidth="1"/>
    <col min="10250" max="10251" width="12.7109375" style="129" customWidth="1"/>
    <col min="10252" max="10252" width="11.5703125" style="129" customWidth="1"/>
    <col min="10253" max="10253" width="12.28515625" style="129" customWidth="1"/>
    <col min="10254" max="10254" width="13" style="129" customWidth="1"/>
    <col min="10255" max="10255" width="14" style="129" bestFit="1" customWidth="1"/>
    <col min="10256" max="10259" width="9.140625" style="129"/>
    <col min="10260" max="10260" width="15" style="129" bestFit="1" customWidth="1"/>
    <col min="10261" max="10497" width="9.140625" style="129"/>
    <col min="10498" max="10498" width="4.42578125" style="129" customWidth="1"/>
    <col min="10499" max="10504" width="9.140625" style="129"/>
    <col min="10505" max="10505" width="11.28515625" style="129" bestFit="1" customWidth="1"/>
    <col min="10506" max="10507" width="12.7109375" style="129" customWidth="1"/>
    <col min="10508" max="10508" width="11.5703125" style="129" customWidth="1"/>
    <col min="10509" max="10509" width="12.28515625" style="129" customWidth="1"/>
    <col min="10510" max="10510" width="13" style="129" customWidth="1"/>
    <col min="10511" max="10511" width="14" style="129" bestFit="1" customWidth="1"/>
    <col min="10512" max="10515" width="9.140625" style="129"/>
    <col min="10516" max="10516" width="15" style="129" bestFit="1" customWidth="1"/>
    <col min="10517" max="10753" width="9.140625" style="129"/>
    <col min="10754" max="10754" width="4.42578125" style="129" customWidth="1"/>
    <col min="10755" max="10760" width="9.140625" style="129"/>
    <col min="10761" max="10761" width="11.28515625" style="129" bestFit="1" customWidth="1"/>
    <col min="10762" max="10763" width="12.7109375" style="129" customWidth="1"/>
    <col min="10764" max="10764" width="11.5703125" style="129" customWidth="1"/>
    <col min="10765" max="10765" width="12.28515625" style="129" customWidth="1"/>
    <col min="10766" max="10766" width="13" style="129" customWidth="1"/>
    <col min="10767" max="10767" width="14" style="129" bestFit="1" customWidth="1"/>
    <col min="10768" max="10771" width="9.140625" style="129"/>
    <col min="10772" max="10772" width="15" style="129" bestFit="1" customWidth="1"/>
    <col min="10773" max="11009" width="9.140625" style="129"/>
    <col min="11010" max="11010" width="4.42578125" style="129" customWidth="1"/>
    <col min="11011" max="11016" width="9.140625" style="129"/>
    <col min="11017" max="11017" width="11.28515625" style="129" bestFit="1" customWidth="1"/>
    <col min="11018" max="11019" width="12.7109375" style="129" customWidth="1"/>
    <col min="11020" max="11020" width="11.5703125" style="129" customWidth="1"/>
    <col min="11021" max="11021" width="12.28515625" style="129" customWidth="1"/>
    <col min="11022" max="11022" width="13" style="129" customWidth="1"/>
    <col min="11023" max="11023" width="14" style="129" bestFit="1" customWidth="1"/>
    <col min="11024" max="11027" width="9.140625" style="129"/>
    <col min="11028" max="11028" width="15" style="129" bestFit="1" customWidth="1"/>
    <col min="11029" max="11265" width="9.140625" style="129"/>
    <col min="11266" max="11266" width="4.42578125" style="129" customWidth="1"/>
    <col min="11267" max="11272" width="9.140625" style="129"/>
    <col min="11273" max="11273" width="11.28515625" style="129" bestFit="1" customWidth="1"/>
    <col min="11274" max="11275" width="12.7109375" style="129" customWidth="1"/>
    <col min="11276" max="11276" width="11.5703125" style="129" customWidth="1"/>
    <col min="11277" max="11277" width="12.28515625" style="129" customWidth="1"/>
    <col min="11278" max="11278" width="13" style="129" customWidth="1"/>
    <col min="11279" max="11279" width="14" style="129" bestFit="1" customWidth="1"/>
    <col min="11280" max="11283" width="9.140625" style="129"/>
    <col min="11284" max="11284" width="15" style="129" bestFit="1" customWidth="1"/>
    <col min="11285" max="11521" width="9.140625" style="129"/>
    <col min="11522" max="11522" width="4.42578125" style="129" customWidth="1"/>
    <col min="11523" max="11528" width="9.140625" style="129"/>
    <col min="11529" max="11529" width="11.28515625" style="129" bestFit="1" customWidth="1"/>
    <col min="11530" max="11531" width="12.7109375" style="129" customWidth="1"/>
    <col min="11532" max="11532" width="11.5703125" style="129" customWidth="1"/>
    <col min="11533" max="11533" width="12.28515625" style="129" customWidth="1"/>
    <col min="11534" max="11534" width="13" style="129" customWidth="1"/>
    <col min="11535" max="11535" width="14" style="129" bestFit="1" customWidth="1"/>
    <col min="11536" max="11539" width="9.140625" style="129"/>
    <col min="11540" max="11540" width="15" style="129" bestFit="1" customWidth="1"/>
    <col min="11541" max="11777" width="9.140625" style="129"/>
    <col min="11778" max="11778" width="4.42578125" style="129" customWidth="1"/>
    <col min="11779" max="11784" width="9.140625" style="129"/>
    <col min="11785" max="11785" width="11.28515625" style="129" bestFit="1" customWidth="1"/>
    <col min="11786" max="11787" width="12.7109375" style="129" customWidth="1"/>
    <col min="11788" max="11788" width="11.5703125" style="129" customWidth="1"/>
    <col min="11789" max="11789" width="12.28515625" style="129" customWidth="1"/>
    <col min="11790" max="11790" width="13" style="129" customWidth="1"/>
    <col min="11791" max="11791" width="14" style="129" bestFit="1" customWidth="1"/>
    <col min="11792" max="11795" width="9.140625" style="129"/>
    <col min="11796" max="11796" width="15" style="129" bestFit="1" customWidth="1"/>
    <col min="11797" max="12033" width="9.140625" style="129"/>
    <col min="12034" max="12034" width="4.42578125" style="129" customWidth="1"/>
    <col min="12035" max="12040" width="9.140625" style="129"/>
    <col min="12041" max="12041" width="11.28515625" style="129" bestFit="1" customWidth="1"/>
    <col min="12042" max="12043" width="12.7109375" style="129" customWidth="1"/>
    <col min="12044" max="12044" width="11.5703125" style="129" customWidth="1"/>
    <col min="12045" max="12045" width="12.28515625" style="129" customWidth="1"/>
    <col min="12046" max="12046" width="13" style="129" customWidth="1"/>
    <col min="12047" max="12047" width="14" style="129" bestFit="1" customWidth="1"/>
    <col min="12048" max="12051" width="9.140625" style="129"/>
    <col min="12052" max="12052" width="15" style="129" bestFit="1" customWidth="1"/>
    <col min="12053" max="12289" width="9.140625" style="129"/>
    <col min="12290" max="12290" width="4.42578125" style="129" customWidth="1"/>
    <col min="12291" max="12296" width="9.140625" style="129"/>
    <col min="12297" max="12297" width="11.28515625" style="129" bestFit="1" customWidth="1"/>
    <col min="12298" max="12299" width="12.7109375" style="129" customWidth="1"/>
    <col min="12300" max="12300" width="11.5703125" style="129" customWidth="1"/>
    <col min="12301" max="12301" width="12.28515625" style="129" customWidth="1"/>
    <col min="12302" max="12302" width="13" style="129" customWidth="1"/>
    <col min="12303" max="12303" width="14" style="129" bestFit="1" customWidth="1"/>
    <col min="12304" max="12307" width="9.140625" style="129"/>
    <col min="12308" max="12308" width="15" style="129" bestFit="1" customWidth="1"/>
    <col min="12309" max="12545" width="9.140625" style="129"/>
    <col min="12546" max="12546" width="4.42578125" style="129" customWidth="1"/>
    <col min="12547" max="12552" width="9.140625" style="129"/>
    <col min="12553" max="12553" width="11.28515625" style="129" bestFit="1" customWidth="1"/>
    <col min="12554" max="12555" width="12.7109375" style="129" customWidth="1"/>
    <col min="12556" max="12556" width="11.5703125" style="129" customWidth="1"/>
    <col min="12557" max="12557" width="12.28515625" style="129" customWidth="1"/>
    <col min="12558" max="12558" width="13" style="129" customWidth="1"/>
    <col min="12559" max="12559" width="14" style="129" bestFit="1" customWidth="1"/>
    <col min="12560" max="12563" width="9.140625" style="129"/>
    <col min="12564" max="12564" width="15" style="129" bestFit="1" customWidth="1"/>
    <col min="12565" max="12801" width="9.140625" style="129"/>
    <col min="12802" max="12802" width="4.42578125" style="129" customWidth="1"/>
    <col min="12803" max="12808" width="9.140625" style="129"/>
    <col min="12809" max="12809" width="11.28515625" style="129" bestFit="1" customWidth="1"/>
    <col min="12810" max="12811" width="12.7109375" style="129" customWidth="1"/>
    <col min="12812" max="12812" width="11.5703125" style="129" customWidth="1"/>
    <col min="12813" max="12813" width="12.28515625" style="129" customWidth="1"/>
    <col min="12814" max="12814" width="13" style="129" customWidth="1"/>
    <col min="12815" max="12815" width="14" style="129" bestFit="1" customWidth="1"/>
    <col min="12816" max="12819" width="9.140625" style="129"/>
    <col min="12820" max="12820" width="15" style="129" bestFit="1" customWidth="1"/>
    <col min="12821" max="13057" width="9.140625" style="129"/>
    <col min="13058" max="13058" width="4.42578125" style="129" customWidth="1"/>
    <col min="13059" max="13064" width="9.140625" style="129"/>
    <col min="13065" max="13065" width="11.28515625" style="129" bestFit="1" customWidth="1"/>
    <col min="13066" max="13067" width="12.7109375" style="129" customWidth="1"/>
    <col min="13068" max="13068" width="11.5703125" style="129" customWidth="1"/>
    <col min="13069" max="13069" width="12.28515625" style="129" customWidth="1"/>
    <col min="13070" max="13070" width="13" style="129" customWidth="1"/>
    <col min="13071" max="13071" width="14" style="129" bestFit="1" customWidth="1"/>
    <col min="13072" max="13075" width="9.140625" style="129"/>
    <col min="13076" max="13076" width="15" style="129" bestFit="1" customWidth="1"/>
    <col min="13077" max="13313" width="9.140625" style="129"/>
    <col min="13314" max="13314" width="4.42578125" style="129" customWidth="1"/>
    <col min="13315" max="13320" width="9.140625" style="129"/>
    <col min="13321" max="13321" width="11.28515625" style="129" bestFit="1" customWidth="1"/>
    <col min="13322" max="13323" width="12.7109375" style="129" customWidth="1"/>
    <col min="13324" max="13324" width="11.5703125" style="129" customWidth="1"/>
    <col min="13325" max="13325" width="12.28515625" style="129" customWidth="1"/>
    <col min="13326" max="13326" width="13" style="129" customWidth="1"/>
    <col min="13327" max="13327" width="14" style="129" bestFit="1" customWidth="1"/>
    <col min="13328" max="13331" width="9.140625" style="129"/>
    <col min="13332" max="13332" width="15" style="129" bestFit="1" customWidth="1"/>
    <col min="13333" max="13569" width="9.140625" style="129"/>
    <col min="13570" max="13570" width="4.42578125" style="129" customWidth="1"/>
    <col min="13571" max="13576" width="9.140625" style="129"/>
    <col min="13577" max="13577" width="11.28515625" style="129" bestFit="1" customWidth="1"/>
    <col min="13578" max="13579" width="12.7109375" style="129" customWidth="1"/>
    <col min="13580" max="13580" width="11.5703125" style="129" customWidth="1"/>
    <col min="13581" max="13581" width="12.28515625" style="129" customWidth="1"/>
    <col min="13582" max="13582" width="13" style="129" customWidth="1"/>
    <col min="13583" max="13583" width="14" style="129" bestFit="1" customWidth="1"/>
    <col min="13584" max="13587" width="9.140625" style="129"/>
    <col min="13588" max="13588" width="15" style="129" bestFit="1" customWidth="1"/>
    <col min="13589" max="13825" width="9.140625" style="129"/>
    <col min="13826" max="13826" width="4.42578125" style="129" customWidth="1"/>
    <col min="13827" max="13832" width="9.140625" style="129"/>
    <col min="13833" max="13833" width="11.28515625" style="129" bestFit="1" customWidth="1"/>
    <col min="13834" max="13835" width="12.7109375" style="129" customWidth="1"/>
    <col min="13836" max="13836" width="11.5703125" style="129" customWidth="1"/>
    <col min="13837" max="13837" width="12.28515625" style="129" customWidth="1"/>
    <col min="13838" max="13838" width="13" style="129" customWidth="1"/>
    <col min="13839" max="13839" width="14" style="129" bestFit="1" customWidth="1"/>
    <col min="13840" max="13843" width="9.140625" style="129"/>
    <col min="13844" max="13844" width="15" style="129" bestFit="1" customWidth="1"/>
    <col min="13845" max="14081" width="9.140625" style="129"/>
    <col min="14082" max="14082" width="4.42578125" style="129" customWidth="1"/>
    <col min="14083" max="14088" width="9.140625" style="129"/>
    <col min="14089" max="14089" width="11.28515625" style="129" bestFit="1" customWidth="1"/>
    <col min="14090" max="14091" width="12.7109375" style="129" customWidth="1"/>
    <col min="14092" max="14092" width="11.5703125" style="129" customWidth="1"/>
    <col min="14093" max="14093" width="12.28515625" style="129" customWidth="1"/>
    <col min="14094" max="14094" width="13" style="129" customWidth="1"/>
    <col min="14095" max="14095" width="14" style="129" bestFit="1" customWidth="1"/>
    <col min="14096" max="14099" width="9.140625" style="129"/>
    <col min="14100" max="14100" width="15" style="129" bestFit="1" customWidth="1"/>
    <col min="14101" max="14337" width="9.140625" style="129"/>
    <col min="14338" max="14338" width="4.42578125" style="129" customWidth="1"/>
    <col min="14339" max="14344" width="9.140625" style="129"/>
    <col min="14345" max="14345" width="11.28515625" style="129" bestFit="1" customWidth="1"/>
    <col min="14346" max="14347" width="12.7109375" style="129" customWidth="1"/>
    <col min="14348" max="14348" width="11.5703125" style="129" customWidth="1"/>
    <col min="14349" max="14349" width="12.28515625" style="129" customWidth="1"/>
    <col min="14350" max="14350" width="13" style="129" customWidth="1"/>
    <col min="14351" max="14351" width="14" style="129" bestFit="1" customWidth="1"/>
    <col min="14352" max="14355" width="9.140625" style="129"/>
    <col min="14356" max="14356" width="15" style="129" bestFit="1" customWidth="1"/>
    <col min="14357" max="14593" width="9.140625" style="129"/>
    <col min="14594" max="14594" width="4.42578125" style="129" customWidth="1"/>
    <col min="14595" max="14600" width="9.140625" style="129"/>
    <col min="14601" max="14601" width="11.28515625" style="129" bestFit="1" customWidth="1"/>
    <col min="14602" max="14603" width="12.7109375" style="129" customWidth="1"/>
    <col min="14604" max="14604" width="11.5703125" style="129" customWidth="1"/>
    <col min="14605" max="14605" width="12.28515625" style="129" customWidth="1"/>
    <col min="14606" max="14606" width="13" style="129" customWidth="1"/>
    <col min="14607" max="14607" width="14" style="129" bestFit="1" customWidth="1"/>
    <col min="14608" max="14611" width="9.140625" style="129"/>
    <col min="14612" max="14612" width="15" style="129" bestFit="1" customWidth="1"/>
    <col min="14613" max="14849" width="9.140625" style="129"/>
    <col min="14850" max="14850" width="4.42578125" style="129" customWidth="1"/>
    <col min="14851" max="14856" width="9.140625" style="129"/>
    <col min="14857" max="14857" width="11.28515625" style="129" bestFit="1" customWidth="1"/>
    <col min="14858" max="14859" width="12.7109375" style="129" customWidth="1"/>
    <col min="14860" max="14860" width="11.5703125" style="129" customWidth="1"/>
    <col min="14861" max="14861" width="12.28515625" style="129" customWidth="1"/>
    <col min="14862" max="14862" width="13" style="129" customWidth="1"/>
    <col min="14863" max="14863" width="14" style="129" bestFit="1" customWidth="1"/>
    <col min="14864" max="14867" width="9.140625" style="129"/>
    <col min="14868" max="14868" width="15" style="129" bestFit="1" customWidth="1"/>
    <col min="14869" max="15105" width="9.140625" style="129"/>
    <col min="15106" max="15106" width="4.42578125" style="129" customWidth="1"/>
    <col min="15107" max="15112" width="9.140625" style="129"/>
    <col min="15113" max="15113" width="11.28515625" style="129" bestFit="1" customWidth="1"/>
    <col min="15114" max="15115" width="12.7109375" style="129" customWidth="1"/>
    <col min="15116" max="15116" width="11.5703125" style="129" customWidth="1"/>
    <col min="15117" max="15117" width="12.28515625" style="129" customWidth="1"/>
    <col min="15118" max="15118" width="13" style="129" customWidth="1"/>
    <col min="15119" max="15119" width="14" style="129" bestFit="1" customWidth="1"/>
    <col min="15120" max="15123" width="9.140625" style="129"/>
    <col min="15124" max="15124" width="15" style="129" bestFit="1" customWidth="1"/>
    <col min="15125" max="15361" width="9.140625" style="129"/>
    <col min="15362" max="15362" width="4.42578125" style="129" customWidth="1"/>
    <col min="15363" max="15368" width="9.140625" style="129"/>
    <col min="15369" max="15369" width="11.28515625" style="129" bestFit="1" customWidth="1"/>
    <col min="15370" max="15371" width="12.7109375" style="129" customWidth="1"/>
    <col min="15372" max="15372" width="11.5703125" style="129" customWidth="1"/>
    <col min="15373" max="15373" width="12.28515625" style="129" customWidth="1"/>
    <col min="15374" max="15374" width="13" style="129" customWidth="1"/>
    <col min="15375" max="15375" width="14" style="129" bestFit="1" customWidth="1"/>
    <col min="15376" max="15379" width="9.140625" style="129"/>
    <col min="15380" max="15380" width="15" style="129" bestFit="1" customWidth="1"/>
    <col min="15381" max="15617" width="9.140625" style="129"/>
    <col min="15618" max="15618" width="4.42578125" style="129" customWidth="1"/>
    <col min="15619" max="15624" width="9.140625" style="129"/>
    <col min="15625" max="15625" width="11.28515625" style="129" bestFit="1" customWidth="1"/>
    <col min="15626" max="15627" width="12.7109375" style="129" customWidth="1"/>
    <col min="15628" max="15628" width="11.5703125" style="129" customWidth="1"/>
    <col min="15629" max="15629" width="12.28515625" style="129" customWidth="1"/>
    <col min="15630" max="15630" width="13" style="129" customWidth="1"/>
    <col min="15631" max="15631" width="14" style="129" bestFit="1" customWidth="1"/>
    <col min="15632" max="15635" width="9.140625" style="129"/>
    <col min="15636" max="15636" width="15" style="129" bestFit="1" customWidth="1"/>
    <col min="15637" max="15873" width="9.140625" style="129"/>
    <col min="15874" max="15874" width="4.42578125" style="129" customWidth="1"/>
    <col min="15875" max="15880" width="9.140625" style="129"/>
    <col min="15881" max="15881" width="11.28515625" style="129" bestFit="1" customWidth="1"/>
    <col min="15882" max="15883" width="12.7109375" style="129" customWidth="1"/>
    <col min="15884" max="15884" width="11.5703125" style="129" customWidth="1"/>
    <col min="15885" max="15885" width="12.28515625" style="129" customWidth="1"/>
    <col min="15886" max="15886" width="13" style="129" customWidth="1"/>
    <col min="15887" max="15887" width="14" style="129" bestFit="1" customWidth="1"/>
    <col min="15888" max="15891" width="9.140625" style="129"/>
    <col min="15892" max="15892" width="15" style="129" bestFit="1" customWidth="1"/>
    <col min="15893" max="16129" width="9.140625" style="129"/>
    <col min="16130" max="16130" width="4.42578125" style="129" customWidth="1"/>
    <col min="16131" max="16136" width="9.140625" style="129"/>
    <col min="16137" max="16137" width="11.28515625" style="129" bestFit="1" customWidth="1"/>
    <col min="16138" max="16139" width="12.7109375" style="129" customWidth="1"/>
    <col min="16140" max="16140" width="11.5703125" style="129" customWidth="1"/>
    <col min="16141" max="16141" width="12.28515625" style="129" customWidth="1"/>
    <col min="16142" max="16142" width="13" style="129" customWidth="1"/>
    <col min="16143" max="16143" width="14" style="129" bestFit="1" customWidth="1"/>
    <col min="16144" max="16147" width="9.140625" style="129"/>
    <col min="16148" max="16148" width="15" style="129" bestFit="1" customWidth="1"/>
    <col min="16149" max="16384" width="9.140625" style="129"/>
  </cols>
  <sheetData>
    <row r="2" spans="2:18" ht="25.5" customHeight="1">
      <c r="B2" s="835" t="s">
        <v>1158</v>
      </c>
      <c r="C2" s="835"/>
      <c r="D2" s="835"/>
      <c r="E2" s="835"/>
      <c r="F2" s="835"/>
      <c r="G2" s="835"/>
      <c r="H2" s="835"/>
      <c r="I2" s="835"/>
      <c r="J2" s="835"/>
      <c r="K2" s="835"/>
      <c r="L2" s="835"/>
      <c r="M2" s="835"/>
      <c r="N2" s="835"/>
      <c r="O2" s="835"/>
    </row>
    <row r="3" spans="2:18" ht="10.5" customHeight="1"/>
    <row r="4" spans="2:18" ht="21.75" customHeight="1">
      <c r="B4" s="831" t="s">
        <v>855</v>
      </c>
      <c r="C4" s="831"/>
      <c r="D4" s="831"/>
      <c r="E4" s="831"/>
      <c r="F4" s="831"/>
      <c r="G4" s="831"/>
      <c r="H4" s="831" t="s">
        <v>939</v>
      </c>
      <c r="I4" s="831"/>
      <c r="J4" s="831"/>
      <c r="K4" s="831"/>
      <c r="L4" s="831"/>
      <c r="M4" s="831"/>
      <c r="N4" s="831"/>
      <c r="O4" s="598" t="s">
        <v>1017</v>
      </c>
    </row>
    <row r="5" spans="2:18" ht="4.1500000000000004" customHeight="1" thickBot="1"/>
    <row r="6" spans="2:18" ht="29.25" customHeight="1">
      <c r="B6" s="840"/>
      <c r="C6" s="841"/>
      <c r="D6" s="841"/>
      <c r="E6" s="841"/>
      <c r="F6" s="841"/>
      <c r="G6" s="841"/>
      <c r="H6" s="346">
        <v>2018</v>
      </c>
      <c r="I6" s="346">
        <v>2019</v>
      </c>
      <c r="J6" s="346">
        <v>2020</v>
      </c>
      <c r="K6" s="346">
        <v>2021</v>
      </c>
      <c r="L6" s="346">
        <v>2022</v>
      </c>
      <c r="M6" s="655">
        <v>2023</v>
      </c>
      <c r="N6" s="347" t="s">
        <v>979</v>
      </c>
      <c r="O6" s="348" t="s">
        <v>1018</v>
      </c>
    </row>
    <row r="7" spans="2:18" ht="29.25" customHeight="1">
      <c r="B7" s="832" t="str">
        <f>'Costed Impl plan'!B6:S6</f>
        <v>Programme objective 1: To implement services to prevent new HIV infections by increasing program coverage and case detection</v>
      </c>
      <c r="C7" s="833"/>
      <c r="D7" s="833"/>
      <c r="E7" s="833"/>
      <c r="F7" s="833"/>
      <c r="G7" s="833"/>
      <c r="H7" s="833"/>
      <c r="I7" s="833"/>
      <c r="J7" s="833"/>
      <c r="K7" s="833"/>
      <c r="L7" s="833"/>
      <c r="M7" s="833"/>
      <c r="N7" s="833"/>
      <c r="O7" s="834"/>
      <c r="P7" s="194"/>
    </row>
    <row r="8" spans="2:18" ht="47.45" customHeight="1">
      <c r="B8" s="838" t="str">
        <f>'Costed Impl plan'!B11:S11</f>
        <v>Strategy 1.1: HIV case detection increased and HIV and STI transmission minimized and risk behaviour reduced among key populations through comprehensive targeted interventions and service provision</v>
      </c>
      <c r="C8" s="839"/>
      <c r="D8" s="839"/>
      <c r="E8" s="839"/>
      <c r="F8" s="839"/>
      <c r="G8" s="839"/>
      <c r="H8" s="195">
        <f>'Costed Impl plan'!M35</f>
        <v>27221602.157382593</v>
      </c>
      <c r="I8" s="195">
        <f>'Costed Impl plan'!N35</f>
        <v>29121716.444186285</v>
      </c>
      <c r="J8" s="195">
        <f>'Costed Impl plan'!O35</f>
        <v>31157264.008750256</v>
      </c>
      <c r="K8" s="195">
        <f>'Costed Impl plan'!P35</f>
        <v>33338048.582219016</v>
      </c>
      <c r="L8" s="195">
        <f>'Costed Impl plan'!Q35</f>
        <v>35674591.487338573</v>
      </c>
      <c r="M8" s="195">
        <f>'Costed Impl plan'!R35</f>
        <v>38178184.573414758</v>
      </c>
      <c r="N8" s="195">
        <f>'Costed Impl plan'!S35</f>
        <v>194691407.25329149</v>
      </c>
      <c r="O8" s="345">
        <f>N8*77</f>
        <v>14991238358.503445</v>
      </c>
      <c r="R8" s="196"/>
    </row>
    <row r="9" spans="2:18" ht="35.450000000000003" customHeight="1">
      <c r="B9" s="838" t="str">
        <f>'Costed Impl plan'!B36:S36</f>
        <v>Strategy 1.2: Increased case detection and reduction of risk behaviours and provision of services for emerging risk populations and vulnerable groups</v>
      </c>
      <c r="C9" s="839"/>
      <c r="D9" s="839"/>
      <c r="E9" s="839"/>
      <c r="F9" s="839"/>
      <c r="G9" s="839"/>
      <c r="H9" s="195">
        <f>'Costed Impl plan'!M55</f>
        <v>5125942.25</v>
      </c>
      <c r="I9" s="195">
        <f>'Costed Impl plan'!N55</f>
        <v>5024279.0999999996</v>
      </c>
      <c r="J9" s="195">
        <f>'Costed Impl plan'!O55</f>
        <v>5536852.4299999997</v>
      </c>
      <c r="K9" s="195">
        <f>'Costed Impl plan'!P55</f>
        <v>5851975.1296250001</v>
      </c>
      <c r="L9" s="195">
        <f>'Costed Impl plan'!Q55</f>
        <v>6185724.9700906258</v>
      </c>
      <c r="M9" s="195">
        <f>'Costed Impl plan'!R55</f>
        <v>6539248.6338783605</v>
      </c>
      <c r="N9" s="195">
        <f>'Costed Impl plan'!S55</f>
        <v>34264022.513593987</v>
      </c>
      <c r="O9" s="345">
        <f>N9*77</f>
        <v>2638329733.5467372</v>
      </c>
      <c r="R9" s="196"/>
    </row>
    <row r="10" spans="2:18" ht="29.25" customHeight="1">
      <c r="B10" s="838" t="str">
        <f>'Costed Impl plan'!B56:S56</f>
        <v>Strategy 1.3: Increased case detection and awareness raising among general population and young people</v>
      </c>
      <c r="C10" s="839"/>
      <c r="D10" s="839"/>
      <c r="E10" s="839"/>
      <c r="F10" s="839"/>
      <c r="G10" s="839"/>
      <c r="H10" s="195">
        <f>'Costed Impl plan'!M62</f>
        <v>1875491.296875</v>
      </c>
      <c r="I10" s="195">
        <f>'Costed Impl plan'!N62</f>
        <v>1969265.8617187501</v>
      </c>
      <c r="J10" s="195">
        <f>'Costed Impl plan'!O62</f>
        <v>2107798.1391796875</v>
      </c>
      <c r="K10" s="195">
        <f>'Costed Impl plan'!P62</f>
        <v>2171115.6125449222</v>
      </c>
      <c r="L10" s="195">
        <f>'Costed Impl plan'!Q62</f>
        <v>2279671.3931721682</v>
      </c>
      <c r="M10" s="195">
        <f>'Costed Impl plan'!R62</f>
        <v>2393654.9628307773</v>
      </c>
      <c r="N10" s="195">
        <f>'Costed Impl plan'!S62</f>
        <v>12796997.266321305</v>
      </c>
      <c r="O10" s="345">
        <f>N10*77</f>
        <v>985368789.50674045</v>
      </c>
      <c r="R10" s="196"/>
    </row>
    <row r="11" spans="2:18" ht="49.15" customHeight="1">
      <c r="B11" s="838" t="str">
        <f>'Costed Impl plan'!B63:S63</f>
        <v>Strategy 1.4: Strengthening of HIV and STI prevention and other SRH services in public health care settings and functional linkages for co-infections (e.g. TB, Hepatitis, etc.)</v>
      </c>
      <c r="C11" s="839"/>
      <c r="D11" s="839"/>
      <c r="E11" s="839"/>
      <c r="F11" s="839"/>
      <c r="G11" s="839"/>
      <c r="H11" s="195">
        <f>'Costed Impl plan'!M84</f>
        <v>1019374.403515625</v>
      </c>
      <c r="I11" s="195">
        <f>'Costed Impl plan'!N84</f>
        <v>2028364.9086914063</v>
      </c>
      <c r="J11" s="195">
        <f>'Costed Impl plan'!O84</f>
        <v>2366042.4269384765</v>
      </c>
      <c r="K11" s="195">
        <f>'Costed Impl plan'!P84</f>
        <v>2644820.7480197754</v>
      </c>
      <c r="L11" s="195">
        <f>'Costed Impl plan'!Q84</f>
        <v>2777061.7854207647</v>
      </c>
      <c r="M11" s="195">
        <f>'Costed Impl plan'!R84</f>
        <v>3171171.1871918035</v>
      </c>
      <c r="N11" s="195">
        <f>'Costed Impl plan'!S84</f>
        <v>14006835.459777851</v>
      </c>
      <c r="O11" s="345">
        <f>N11*77</f>
        <v>1078526330.4028945</v>
      </c>
      <c r="R11" s="196"/>
    </row>
    <row r="12" spans="2:18" ht="29.25" customHeight="1">
      <c r="B12" s="836" t="s">
        <v>410</v>
      </c>
      <c r="C12" s="837"/>
      <c r="D12" s="837"/>
      <c r="E12" s="837"/>
      <c r="F12" s="837"/>
      <c r="G12" s="837"/>
      <c r="H12" s="197">
        <f t="shared" ref="H12:N12" si="0">SUM(H8:H11)</f>
        <v>35242410.107773215</v>
      </c>
      <c r="I12" s="197">
        <f t="shared" si="0"/>
        <v>38143626.314596444</v>
      </c>
      <c r="J12" s="197">
        <f t="shared" si="0"/>
        <v>41167957.004868411</v>
      </c>
      <c r="K12" s="197">
        <f t="shared" si="0"/>
        <v>44005960.072408713</v>
      </c>
      <c r="L12" s="197">
        <f t="shared" si="0"/>
        <v>46917049.636022136</v>
      </c>
      <c r="M12" s="197">
        <f t="shared" ref="M12" si="1">SUM(M8:M11)</f>
        <v>50282259.357315697</v>
      </c>
      <c r="N12" s="198">
        <f t="shared" si="0"/>
        <v>255759262.49298462</v>
      </c>
      <c r="O12" s="198">
        <f>N12*84.5</f>
        <v>21611657680.6572</v>
      </c>
      <c r="R12" s="196"/>
    </row>
    <row r="13" spans="2:18" ht="29.25" customHeight="1">
      <c r="B13" s="832" t="str">
        <f>'Costed Impl plan'!B86:S86</f>
        <v>Program objective 2: To provide universal access to treatment, care and support services for the people living with HIV</v>
      </c>
      <c r="C13" s="833"/>
      <c r="D13" s="833"/>
      <c r="E13" s="833"/>
      <c r="F13" s="833"/>
      <c r="G13" s="833"/>
      <c r="H13" s="833"/>
      <c r="I13" s="833"/>
      <c r="J13" s="833"/>
      <c r="K13" s="833"/>
      <c r="L13" s="833"/>
      <c r="M13" s="833"/>
      <c r="N13" s="833"/>
      <c r="O13" s="834"/>
      <c r="R13" s="196"/>
    </row>
    <row r="14" spans="2:18" ht="49.15" customHeight="1">
      <c r="B14" s="838" t="str">
        <f>'Costed Impl plan'!B89:S89</f>
        <v>Strategy 2.1: Reduce mortality and morbidity among PLHIV through early detection and treatment by system strengthening of government, non-government and private sector facilities</v>
      </c>
      <c r="C14" s="839"/>
      <c r="D14" s="839"/>
      <c r="E14" s="839"/>
      <c r="F14" s="839"/>
      <c r="G14" s="839"/>
      <c r="H14" s="195">
        <f>'Costed Impl plan'!M92</f>
        <v>2695267.1999999997</v>
      </c>
      <c r="I14" s="195">
        <f>'Costed Impl plan'!N92</f>
        <v>3242743.3499999996</v>
      </c>
      <c r="J14" s="195">
        <f>'Costed Impl plan'!O92</f>
        <v>3714415.1099999994</v>
      </c>
      <c r="K14" s="195">
        <f>'Costed Impl plan'!P92</f>
        <v>4225147.1876250003</v>
      </c>
      <c r="L14" s="195">
        <f>'Costed Impl plan'!Q92</f>
        <v>4504656.9246525001</v>
      </c>
      <c r="M14" s="195">
        <f>'Costed Impl plan'!R92</f>
        <v>4729889.7708851257</v>
      </c>
      <c r="N14" s="195">
        <f>'Costed Impl plan'!S92</f>
        <v>23112119.543162622</v>
      </c>
      <c r="O14" s="345">
        <f t="shared" ref="O14:O34" si="2">N14*77</f>
        <v>1779633204.8235219</v>
      </c>
      <c r="R14" s="196"/>
    </row>
    <row r="15" spans="2:18" ht="34.9" customHeight="1">
      <c r="B15" s="838" t="str">
        <f>'Costed Impl plan'!B93:S93</f>
        <v>Strategy 2.2:Ensure capacity of service providers for out-patient and in-patient medical management of PLHIV in government, non-government and private sectors</v>
      </c>
      <c r="C15" s="839"/>
      <c r="D15" s="839"/>
      <c r="E15" s="839"/>
      <c r="F15" s="839"/>
      <c r="G15" s="839"/>
      <c r="H15" s="195">
        <f>'Costed Impl plan'!M98</f>
        <v>1719125</v>
      </c>
      <c r="I15" s="195">
        <f>'Costed Impl plan'!N98</f>
        <v>1805081.25</v>
      </c>
      <c r="J15" s="195">
        <f>'Costed Impl plan'!O98</f>
        <v>1895335.3125</v>
      </c>
      <c r="K15" s="195">
        <f>'Costed Impl plan'!P98</f>
        <v>1990102.0781250002</v>
      </c>
      <c r="L15" s="195">
        <f>'Costed Impl plan'!Q98</f>
        <v>2089607.1820312503</v>
      </c>
      <c r="M15" s="195">
        <f>'Costed Impl plan'!R98</f>
        <v>2194087.5411328133</v>
      </c>
      <c r="N15" s="195">
        <f>'Costed Impl plan'!S98</f>
        <v>11693338.363789063</v>
      </c>
      <c r="O15" s="345">
        <f t="shared" si="2"/>
        <v>900387054.01175785</v>
      </c>
      <c r="R15" s="196"/>
    </row>
    <row r="16" spans="2:18" ht="29.25" customHeight="1">
      <c r="B16" s="838" t="str">
        <f>'Costed Impl plan'!B99:S99</f>
        <v>Strategy 2.3: Ensure functional systems for related policy adoption, linkages and update</v>
      </c>
      <c r="C16" s="839"/>
      <c r="D16" s="839"/>
      <c r="E16" s="839"/>
      <c r="F16" s="839"/>
      <c r="G16" s="839"/>
      <c r="H16" s="195">
        <f>'Costed Impl plan'!M104</f>
        <v>696.875</v>
      </c>
      <c r="I16" s="195">
        <f>'Costed Impl plan'!N104</f>
        <v>43574.015625</v>
      </c>
      <c r="J16" s="195">
        <f>'Costed Impl plan'!O104</f>
        <v>768.3046875</v>
      </c>
      <c r="K16" s="195">
        <f>'Costed Impl plan'!P104</f>
        <v>806.71992187500007</v>
      </c>
      <c r="L16" s="195">
        <f>'Costed Impl plan'!Q104</f>
        <v>847.05591796875012</v>
      </c>
      <c r="M16" s="195">
        <f>'Costed Impl plan'!R104</f>
        <v>889.40871386718777</v>
      </c>
      <c r="N16" s="195">
        <f>'Costed Impl plan'!S104</f>
        <v>47582.37986621094</v>
      </c>
      <c r="O16" s="345">
        <f t="shared" si="2"/>
        <v>3663843.2496982422</v>
      </c>
      <c r="R16" s="196"/>
    </row>
    <row r="17" spans="2:20" ht="45" customHeight="1">
      <c r="B17" s="838" t="str">
        <f>'Costed Impl plan'!B105:S105</f>
        <v>Strategy 2.4: A comprehensive approach to community support system adopted and implemented to strengthen treatment adherence, care and support for PLHIV including CABA and OVC</v>
      </c>
      <c r="C17" s="839"/>
      <c r="D17" s="839"/>
      <c r="E17" s="839"/>
      <c r="F17" s="839"/>
      <c r="G17" s="839"/>
      <c r="H17" s="195">
        <f>'Costed Impl plan'!M117</f>
        <v>183925.59795673075</v>
      </c>
      <c r="I17" s="195">
        <f>'Costed Impl plan'!N117</f>
        <v>878780.08097956725</v>
      </c>
      <c r="J17" s="195">
        <f>'Costed Impl plan'!O117</f>
        <v>172265.3722528104</v>
      </c>
      <c r="K17" s="195">
        <f>'Costed Impl plan'!P117</f>
        <v>180878.6408654509</v>
      </c>
      <c r="L17" s="195">
        <f>'Costed Impl plan'!Q117</f>
        <v>189922.57290872346</v>
      </c>
      <c r="M17" s="195">
        <f>'Costed Impl plan'!R117</f>
        <v>199418.70155415963</v>
      </c>
      <c r="N17" s="195">
        <f>'Costed Impl plan'!S117</f>
        <v>1805190.9665174424</v>
      </c>
      <c r="O17" s="345">
        <f t="shared" si="2"/>
        <v>138999704.42184305</v>
      </c>
      <c r="R17" s="196"/>
    </row>
    <row r="18" spans="2:20" ht="29.25" customHeight="1">
      <c r="B18" s="836" t="s">
        <v>410</v>
      </c>
      <c r="C18" s="837"/>
      <c r="D18" s="837"/>
      <c r="E18" s="837"/>
      <c r="F18" s="837"/>
      <c r="G18" s="837"/>
      <c r="H18" s="199">
        <f t="shared" ref="H18:N18" si="3">SUM(H14:H17)</f>
        <v>4599014.6729567302</v>
      </c>
      <c r="I18" s="199">
        <f t="shared" si="3"/>
        <v>5970178.6966045666</v>
      </c>
      <c r="J18" s="199">
        <f t="shared" si="3"/>
        <v>5782784.0994403102</v>
      </c>
      <c r="K18" s="199">
        <f t="shared" si="3"/>
        <v>6396934.6265373258</v>
      </c>
      <c r="L18" s="199">
        <f t="shared" si="3"/>
        <v>6785033.7355104433</v>
      </c>
      <c r="M18" s="199">
        <f t="shared" ref="M18" si="4">SUM(M14:M17)</f>
        <v>7124285.4222859656</v>
      </c>
      <c r="N18" s="200">
        <f t="shared" si="3"/>
        <v>36658231.253335334</v>
      </c>
      <c r="O18" s="349">
        <f>N18*84.5</f>
        <v>3097620540.9068356</v>
      </c>
      <c r="P18" s="134"/>
      <c r="Q18" s="134"/>
      <c r="R18" s="196"/>
      <c r="S18" s="134"/>
      <c r="T18" s="134"/>
    </row>
    <row r="19" spans="2:20" ht="29.25" customHeight="1">
      <c r="B19" s="832" t="str">
        <f>'Costed Impl plan'!B119:S119</f>
        <v>Program objective 3: To strengthen the coordination mechanisms and management capacity at different levels to ensure an effective national multi-sector HIV/AIDS response</v>
      </c>
      <c r="C19" s="833"/>
      <c r="D19" s="833"/>
      <c r="E19" s="833"/>
      <c r="F19" s="833"/>
      <c r="G19" s="833"/>
      <c r="H19" s="833"/>
      <c r="I19" s="833"/>
      <c r="J19" s="833"/>
      <c r="K19" s="833"/>
      <c r="L19" s="833"/>
      <c r="M19" s="833"/>
      <c r="N19" s="833"/>
      <c r="O19" s="834"/>
      <c r="R19" s="196"/>
    </row>
    <row r="20" spans="2:20" ht="29.25" customHeight="1">
      <c r="B20" s="838" t="str">
        <f>'Costed Impl plan'!B122:S122</f>
        <v>Strategy 3.1: Strengthen NAC and TC-NAC for a more functional role in guiding the national HIV response</v>
      </c>
      <c r="C20" s="839"/>
      <c r="D20" s="839"/>
      <c r="E20" s="839"/>
      <c r="F20" s="839"/>
      <c r="G20" s="839"/>
      <c r="H20" s="195">
        <f>'Costed Impl plan'!M126</f>
        <v>8926.6792207792205</v>
      </c>
      <c r="I20" s="195">
        <f>'Costed Impl plan'!N126</f>
        <v>9373.0131818181835</v>
      </c>
      <c r="J20" s="195">
        <f>'Costed Impl plan'!O126</f>
        <v>9841.663840909092</v>
      </c>
      <c r="K20" s="195">
        <f>'Costed Impl plan'!P126</f>
        <v>10333.747032954547</v>
      </c>
      <c r="L20" s="195">
        <f>'Costed Impl plan'!Q126</f>
        <v>10850.434384602275</v>
      </c>
      <c r="M20" s="195">
        <f>'Costed Impl plan'!R126</f>
        <v>11392.956103832388</v>
      </c>
      <c r="N20" s="195">
        <f>'Costed Impl plan'!S126</f>
        <v>60718.493764895706</v>
      </c>
      <c r="O20" s="345">
        <f t="shared" si="2"/>
        <v>4675324.0198969692</v>
      </c>
      <c r="R20" s="196"/>
    </row>
    <row r="21" spans="2:20" ht="29.25" customHeight="1">
      <c r="B21" s="838" t="str">
        <f>'Costed Impl plan'!B127:S127</f>
        <v>Strategy  3.2: Strengthen NASP through providing appropriate structure, human resources and other logistics</v>
      </c>
      <c r="C21" s="839"/>
      <c r="D21" s="839"/>
      <c r="E21" s="839"/>
      <c r="F21" s="839"/>
      <c r="G21" s="839"/>
      <c r="H21" s="195">
        <f>'Costed Impl plan'!M133</f>
        <v>138633.21428571429</v>
      </c>
      <c r="I21" s="195">
        <f>'Costed Impl plan'!N133</f>
        <v>148612.01785714284</v>
      </c>
      <c r="J21" s="195">
        <f>'Costed Impl plan'!O133</f>
        <v>159318.29732142854</v>
      </c>
      <c r="K21" s="195">
        <f>'Costed Impl plan'!P133</f>
        <v>170805.56665178572</v>
      </c>
      <c r="L21" s="195">
        <f>'Costed Impl plan'!Q133</f>
        <v>183131.30103348213</v>
      </c>
      <c r="M21" s="195">
        <f>'Costed Impl plan'!R133</f>
        <v>196357.23133794643</v>
      </c>
      <c r="N21" s="195">
        <f>'Costed Impl plan'!S133</f>
        <v>996857.6284874999</v>
      </c>
      <c r="O21" s="345">
        <f t="shared" si="2"/>
        <v>76758037.393537492</v>
      </c>
      <c r="R21" s="196"/>
    </row>
    <row r="22" spans="2:20" ht="29.25" customHeight="1">
      <c r="B22" s="838" t="str">
        <f>'Costed Impl plan'!B134:S134</f>
        <v>Strategy 3.3: Conduct stakeholder forums to coordinate, review and discuss the HIV response across other ministries and departments and with civil society groups</v>
      </c>
      <c r="C22" s="839"/>
      <c r="D22" s="839"/>
      <c r="E22" s="839"/>
      <c r="F22" s="839"/>
      <c r="G22" s="839"/>
      <c r="H22" s="195">
        <f>'Costed Impl plan'!M139</f>
        <v>128795.85064935064</v>
      </c>
      <c r="I22" s="195">
        <f>'Costed Impl plan'!N139</f>
        <v>135235.64318181819</v>
      </c>
      <c r="J22" s="195">
        <f>'Costed Impl plan'!O139</f>
        <v>141997.4253409091</v>
      </c>
      <c r="K22" s="195">
        <f>'Costed Impl plan'!P139</f>
        <v>149097.29660795457</v>
      </c>
      <c r="L22" s="195">
        <f>'Costed Impl plan'!Q139</f>
        <v>156552.16143835231</v>
      </c>
      <c r="M22" s="195">
        <f>'Costed Impl plan'!R139</f>
        <v>164379.76951026992</v>
      </c>
      <c r="N22" s="195">
        <f>'Costed Impl plan'!S139</f>
        <v>876058.14672865486</v>
      </c>
      <c r="O22" s="345">
        <f t="shared" si="2"/>
        <v>67456477.298106417</v>
      </c>
      <c r="R22" s="196"/>
    </row>
    <row r="23" spans="2:20" ht="29.25" customHeight="1">
      <c r="B23" s="838" t="str">
        <f>'Costed Impl plan'!B140:S140</f>
        <v>Strategy 3.4: Conduct advocacy activities for an enabling environment</v>
      </c>
      <c r="C23" s="839"/>
      <c r="D23" s="839"/>
      <c r="E23" s="839"/>
      <c r="F23" s="839"/>
      <c r="G23" s="839"/>
      <c r="H23" s="195">
        <f>'Costed Impl plan'!M147</f>
        <v>766758.40143061685</v>
      </c>
      <c r="I23" s="195">
        <f>'Costed Impl plan'!N147</f>
        <v>805096.32150214759</v>
      </c>
      <c r="J23" s="195">
        <f>'Costed Impl plan'!O147</f>
        <v>845351.13757725502</v>
      </c>
      <c r="K23" s="195">
        <f>'Costed Impl plan'!P147</f>
        <v>887618.69445611793</v>
      </c>
      <c r="L23" s="195">
        <f>'Costed Impl plan'!Q147</f>
        <v>931999.62917892379</v>
      </c>
      <c r="M23" s="195">
        <f>'Costed Impl plan'!R147</f>
        <v>978599.61063787015</v>
      </c>
      <c r="N23" s="195">
        <f>'Costed Impl plan'!S147</f>
        <v>5215423.794782931</v>
      </c>
      <c r="O23" s="345">
        <f t="shared" si="2"/>
        <v>401587632.1982857</v>
      </c>
      <c r="R23" s="196"/>
    </row>
    <row r="24" spans="2:20" ht="32.450000000000003" customHeight="1">
      <c r="B24" s="838" t="str">
        <f>'Costed Impl plan'!B148:S148</f>
        <v>Strategy  3.5: Facilitate development and implementation of activities and plans in key sectors for strengthened collaboration on HIV prevention</v>
      </c>
      <c r="C24" s="839"/>
      <c r="D24" s="839"/>
      <c r="E24" s="839"/>
      <c r="F24" s="839"/>
      <c r="G24" s="839"/>
      <c r="H24" s="195">
        <f>'Costed Impl plan'!M160</f>
        <v>165250</v>
      </c>
      <c r="I24" s="195">
        <f>'Costed Impl plan'!N160</f>
        <v>373800</v>
      </c>
      <c r="J24" s="195">
        <f>'Costed Impl plan'!O160</f>
        <v>182188.125</v>
      </c>
      <c r="K24" s="195">
        <f>'Costed Impl plan'!P160</f>
        <v>191297.53125000003</v>
      </c>
      <c r="L24" s="195">
        <f>'Costed Impl plan'!Q160</f>
        <v>200862.40781250002</v>
      </c>
      <c r="M24" s="195">
        <f>'Costed Impl plan'!R160</f>
        <v>210905.52820312505</v>
      </c>
      <c r="N24" s="195">
        <f>'Costed Impl plan'!S160</f>
        <v>1324303.592265625</v>
      </c>
      <c r="O24" s="345">
        <f t="shared" si="2"/>
        <v>101971376.60445313</v>
      </c>
      <c r="R24" s="196"/>
    </row>
    <row r="25" spans="2:20" ht="29.25" customHeight="1">
      <c r="B25" s="838" t="str">
        <f>'Costed Impl plan'!B161:S161</f>
        <v>Strategy 3.6:  Develop human resource capacity across the HIV sector for enhanced response</v>
      </c>
      <c r="C25" s="839"/>
      <c r="D25" s="839"/>
      <c r="E25" s="839"/>
      <c r="F25" s="839"/>
      <c r="G25" s="839"/>
      <c r="H25" s="195">
        <f>'Costed Impl plan'!M165</f>
        <v>0</v>
      </c>
      <c r="I25" s="195">
        <f>'Costed Impl plan'!N165</f>
        <v>372750</v>
      </c>
      <c r="J25" s="195">
        <f>'Costed Impl plan'!O165</f>
        <v>0</v>
      </c>
      <c r="K25" s="195">
        <f>'Costed Impl plan'!P165</f>
        <v>0</v>
      </c>
      <c r="L25" s="195">
        <f>'Costed Impl plan'!Q165</f>
        <v>0</v>
      </c>
      <c r="M25" s="195">
        <f>'Costed Impl plan'!R165</f>
        <v>0</v>
      </c>
      <c r="N25" s="195">
        <f>'Costed Impl plan'!S165</f>
        <v>372750</v>
      </c>
      <c r="O25" s="345">
        <f>N25*77</f>
        <v>28701750</v>
      </c>
      <c r="R25" s="196"/>
    </row>
    <row r="26" spans="2:20" ht="29.25" customHeight="1">
      <c r="B26" s="838" t="str">
        <f>'Costed Impl plan'!B166:S166</f>
        <v>Strategy 3.7:  Strengthen the health system response to HIV</v>
      </c>
      <c r="C26" s="839"/>
      <c r="D26" s="839"/>
      <c r="E26" s="839"/>
      <c r="F26" s="839"/>
      <c r="G26" s="839"/>
      <c r="H26" s="195">
        <f>'Costed Impl plan'!M187</f>
        <v>2141928.4397265627</v>
      </c>
      <c r="I26" s="195">
        <f>'Costed Impl plan'!N187</f>
        <v>2252916.4242128907</v>
      </c>
      <c r="J26" s="195">
        <f>'Costed Impl plan'!O187</f>
        <v>2365562.2454235354</v>
      </c>
      <c r="K26" s="195">
        <f>'Costed Impl plan'!P187</f>
        <v>1029863.3576947121</v>
      </c>
      <c r="L26" s="195">
        <f>'Costed Impl plan'!Q187</f>
        <v>534378.71307944763</v>
      </c>
      <c r="M26" s="195">
        <f>'Costed Impl plan'!R187</f>
        <v>561097.64873342006</v>
      </c>
      <c r="N26" s="195">
        <f>'Costed Impl plan'!S187</f>
        <v>8885746.8288705684</v>
      </c>
      <c r="O26" s="345">
        <f t="shared" si="2"/>
        <v>684202505.82303381</v>
      </c>
      <c r="R26" s="196"/>
    </row>
    <row r="27" spans="2:20" ht="29.25" customHeight="1">
      <c r="B27" s="838" t="str">
        <f>'Costed Impl plan'!B188:S188</f>
        <v>Strategy 3.8: Strengthen the community system response to HIV</v>
      </c>
      <c r="C27" s="839"/>
      <c r="D27" s="839"/>
      <c r="E27" s="839"/>
      <c r="F27" s="839"/>
      <c r="G27" s="839"/>
      <c r="H27" s="195">
        <f>'Costed Impl plan'!M200</f>
        <v>230674.453125</v>
      </c>
      <c r="I27" s="195">
        <f>'Costed Impl plan'!N200</f>
        <v>229411.30078125</v>
      </c>
      <c r="J27" s="195">
        <f>'Costed Impl plan'!O200</f>
        <v>240881.86582031249</v>
      </c>
      <c r="K27" s="195">
        <f>'Costed Impl plan'!P200</f>
        <v>267034.51379882818</v>
      </c>
      <c r="L27" s="195">
        <f>'Costed Impl plan'!Q200</f>
        <v>265572.25706689461</v>
      </c>
      <c r="M27" s="195">
        <f>'Costed Impl plan'!R200</f>
        <v>278850.86992023932</v>
      </c>
      <c r="N27" s="195">
        <f>'Costed Impl plan'!S200</f>
        <v>1512425.2605125245</v>
      </c>
      <c r="O27" s="345">
        <f t="shared" si="2"/>
        <v>116456745.0594644</v>
      </c>
      <c r="R27" s="196"/>
    </row>
    <row r="28" spans="2:20" ht="29.25" customHeight="1">
      <c r="B28" s="836" t="s">
        <v>410</v>
      </c>
      <c r="C28" s="837"/>
      <c r="D28" s="837"/>
      <c r="E28" s="837"/>
      <c r="F28" s="837"/>
      <c r="G28" s="837"/>
      <c r="H28" s="199">
        <f t="shared" ref="H28:N28" si="5">SUM(H20:H27)</f>
        <v>3580967.038438024</v>
      </c>
      <c r="I28" s="199">
        <f t="shared" si="5"/>
        <v>4327194.7207170669</v>
      </c>
      <c r="J28" s="199">
        <f t="shared" si="5"/>
        <v>3945140.7603243496</v>
      </c>
      <c r="K28" s="199">
        <f t="shared" si="5"/>
        <v>2706050.7074923529</v>
      </c>
      <c r="L28" s="199">
        <f t="shared" si="5"/>
        <v>2283346.9039942026</v>
      </c>
      <c r="M28" s="199">
        <f t="shared" ref="M28" si="6">SUM(M20:M27)</f>
        <v>2401583.6144467033</v>
      </c>
      <c r="N28" s="200">
        <f t="shared" si="5"/>
        <v>19244283.7454127</v>
      </c>
      <c r="O28" s="200">
        <f>N28*84.5</f>
        <v>1626141976.4873731</v>
      </c>
      <c r="R28" s="196"/>
    </row>
    <row r="29" spans="2:20" ht="29.25" customHeight="1">
      <c r="B29" s="832" t="str">
        <f>'Costed Impl plan'!B202:S202</f>
        <v>Program objective 4: To strengthen strategic information systems and research for an evidence based response</v>
      </c>
      <c r="C29" s="833"/>
      <c r="D29" s="833"/>
      <c r="E29" s="833"/>
      <c r="F29" s="833"/>
      <c r="G29" s="833"/>
      <c r="H29" s="833"/>
      <c r="I29" s="833"/>
      <c r="J29" s="833"/>
      <c r="K29" s="833"/>
      <c r="L29" s="833"/>
      <c r="M29" s="833"/>
      <c r="N29" s="833"/>
      <c r="O29" s="834"/>
      <c r="R29" s="196"/>
    </row>
    <row r="30" spans="2:20" ht="29.25" customHeight="1">
      <c r="B30" s="838" t="str">
        <f>'Costed Impl plan'!B205:S205</f>
        <v>Strategy 4.1: Conduct comprehensive surveillance to strengthen the capacity to respond</v>
      </c>
      <c r="C30" s="839"/>
      <c r="D30" s="839"/>
      <c r="E30" s="839"/>
      <c r="F30" s="839"/>
      <c r="G30" s="839"/>
      <c r="H30" s="195">
        <f>'Costed Impl plan'!M213</f>
        <v>1185117.1875</v>
      </c>
      <c r="I30" s="195">
        <f>'Costed Impl plan'!N213</f>
        <v>603934.078125</v>
      </c>
      <c r="J30" s="195">
        <f>'Costed Impl plan'!O213</f>
        <v>1012237.98046875</v>
      </c>
      <c r="K30" s="195">
        <f>'Costed Impl plan'!P213</f>
        <v>5923.7841796875009</v>
      </c>
      <c r="L30" s="195">
        <f>'Costed Impl plan'!Q213</f>
        <v>978624.97338867211</v>
      </c>
      <c r="M30" s="195">
        <f>'Costed Impl plan'!R213</f>
        <v>1027556.2220581057</v>
      </c>
      <c r="N30" s="195">
        <f>'Costed Impl plan'!S213</f>
        <v>4813394.2257202156</v>
      </c>
      <c r="O30" s="345">
        <f t="shared" si="2"/>
        <v>370631355.38045663</v>
      </c>
      <c r="R30" s="196"/>
    </row>
    <row r="31" spans="2:20" ht="29.25" customHeight="1">
      <c r="B31" s="838" t="str">
        <f>'Costed Impl plan'!B214:S214</f>
        <v>Strategy 4.2: Conduct relevant research to inform the national strategic response</v>
      </c>
      <c r="C31" s="839"/>
      <c r="D31" s="839"/>
      <c r="E31" s="839"/>
      <c r="F31" s="839"/>
      <c r="G31" s="839"/>
      <c r="H31" s="195">
        <f>'Costed Impl plan'!M219</f>
        <v>2486.7978515625</v>
      </c>
      <c r="I31" s="195">
        <f>'Costed Impl plan'!N219</f>
        <v>0</v>
      </c>
      <c r="J31" s="195">
        <f>'Costed Impl plan'!O219</f>
        <v>2741.6946313476565</v>
      </c>
      <c r="K31" s="195">
        <f>'Costed Impl plan'!P219</f>
        <v>110697.89062500001</v>
      </c>
      <c r="L31" s="195">
        <f>'Costed Impl plan'!Q219</f>
        <v>3022.7183310607916</v>
      </c>
      <c r="M31" s="195">
        <f>'Costed Impl plan'!R219</f>
        <v>3173.8542476138314</v>
      </c>
      <c r="N31" s="195">
        <f>'Costed Impl plan'!S219</f>
        <v>122122.95568658478</v>
      </c>
      <c r="O31" s="345">
        <f t="shared" si="2"/>
        <v>9403467.587867029</v>
      </c>
      <c r="R31" s="196"/>
    </row>
    <row r="32" spans="2:20" ht="29.25" customHeight="1">
      <c r="B32" s="838" t="str">
        <f>'Costed Impl plan'!B220:S220</f>
        <v xml:space="preserve">Strategy 4.3: Strengthen monitoring and evaluation </v>
      </c>
      <c r="C32" s="839"/>
      <c r="D32" s="839"/>
      <c r="E32" s="839"/>
      <c r="F32" s="839"/>
      <c r="G32" s="839"/>
      <c r="H32" s="195">
        <f>'Costed Impl plan'!M231</f>
        <v>93615.660546875006</v>
      </c>
      <c r="I32" s="195">
        <f>'Costed Impl plan'!N231</f>
        <v>281309.98341796873</v>
      </c>
      <c r="J32" s="195">
        <f>'Costed Impl plan'!O231</f>
        <v>62229.273565429685</v>
      </c>
      <c r="K32" s="195">
        <f>'Costed Impl plan'!P231</f>
        <v>310144.25671831059</v>
      </c>
      <c r="L32" s="195">
        <f>'Costed Impl plan'!Q231</f>
        <v>113790.420492605</v>
      </c>
      <c r="M32" s="195">
        <f>'Costed Impl plan'!R231</f>
        <v>119479.94151723525</v>
      </c>
      <c r="N32" s="195">
        <f>'Costed Impl plan'!S231</f>
        <v>980569.53625842417</v>
      </c>
      <c r="O32" s="345">
        <f t="shared" si="2"/>
        <v>75503854.291898668</v>
      </c>
      <c r="R32" s="196"/>
    </row>
    <row r="33" spans="2:18" ht="29.25" customHeight="1">
      <c r="B33" s="838" t="str">
        <f>'Costed Impl plan'!B232:S232</f>
        <v>Strategy 4.4: Improve systems for knowledge management</v>
      </c>
      <c r="C33" s="839"/>
      <c r="D33" s="839"/>
      <c r="E33" s="839"/>
      <c r="F33" s="839"/>
      <c r="G33" s="839"/>
      <c r="H33" s="195">
        <f>'Costed Impl plan'!M243</f>
        <v>104901.953125</v>
      </c>
      <c r="I33" s="195">
        <f>'Costed Impl plan'!N243</f>
        <v>116073.5625</v>
      </c>
      <c r="J33" s="195">
        <f>'Costed Impl plan'!O243</f>
        <v>79823.1533203125</v>
      </c>
      <c r="K33" s="195">
        <f>'Costed Impl plan'!P243</f>
        <v>83814.310986328142</v>
      </c>
      <c r="L33" s="195">
        <f>'Costed Impl plan'!Q243</f>
        <v>127508.97966064455</v>
      </c>
      <c r="M33" s="195">
        <f>'Costed Impl plan'!R243</f>
        <v>133884.42864367677</v>
      </c>
      <c r="N33" s="195">
        <f>'Costed Impl plan'!S243</f>
        <v>646006.38823596202</v>
      </c>
      <c r="O33" s="345">
        <f t="shared" si="2"/>
        <v>49742491.894169077</v>
      </c>
      <c r="R33" s="196"/>
    </row>
    <row r="34" spans="2:18" ht="29.25" customHeight="1">
      <c r="B34" s="836" t="s">
        <v>410</v>
      </c>
      <c r="C34" s="837"/>
      <c r="D34" s="837"/>
      <c r="E34" s="837"/>
      <c r="F34" s="837"/>
      <c r="G34" s="837"/>
      <c r="H34" s="199">
        <f t="shared" ref="H34:N34" si="7">SUM(H30:H33)</f>
        <v>1386121.5990234376</v>
      </c>
      <c r="I34" s="199">
        <f t="shared" si="7"/>
        <v>1001317.6240429687</v>
      </c>
      <c r="J34" s="199">
        <f t="shared" si="7"/>
        <v>1157032.1019858399</v>
      </c>
      <c r="K34" s="199">
        <f t="shared" si="7"/>
        <v>510580.2425093262</v>
      </c>
      <c r="L34" s="199">
        <f t="shared" si="7"/>
        <v>1222947.0918729827</v>
      </c>
      <c r="M34" s="199">
        <f t="shared" ref="M34" si="8">SUM(M30:M33)</f>
        <v>1284094.4464666315</v>
      </c>
      <c r="N34" s="200">
        <f t="shared" si="7"/>
        <v>6562093.1059011873</v>
      </c>
      <c r="O34" s="200">
        <f t="shared" si="2"/>
        <v>505281169.15439141</v>
      </c>
      <c r="R34" s="196"/>
    </row>
    <row r="35" spans="2:18" ht="29.25" customHeight="1" thickBot="1">
      <c r="B35" s="842" t="s">
        <v>647</v>
      </c>
      <c r="C35" s="843"/>
      <c r="D35" s="843"/>
      <c r="E35" s="843"/>
      <c r="F35" s="843"/>
      <c r="G35" s="843"/>
      <c r="H35" s="201">
        <f t="shared" ref="H35:N35" si="9">H34+H28+H18+H12</f>
        <v>44808513.418191403</v>
      </c>
      <c r="I35" s="201">
        <f t="shared" si="9"/>
        <v>49442317.355961047</v>
      </c>
      <c r="J35" s="201">
        <f t="shared" si="9"/>
        <v>52052913.96661891</v>
      </c>
      <c r="K35" s="201">
        <f t="shared" si="9"/>
        <v>53619525.648947716</v>
      </c>
      <c r="L35" s="201">
        <f t="shared" si="9"/>
        <v>57208377.367399767</v>
      </c>
      <c r="M35" s="201">
        <f t="shared" ref="M35" si="10">M34+M28+M18+M12</f>
        <v>61092222.840514995</v>
      </c>
      <c r="N35" s="202">
        <f t="shared" si="9"/>
        <v>318223870.59763384</v>
      </c>
      <c r="O35" s="202">
        <f>N35*84.5</f>
        <v>26889917065.500061</v>
      </c>
      <c r="Q35" s="196"/>
      <c r="R35" s="196"/>
    </row>
    <row r="36" spans="2:18" ht="29.25" customHeight="1">
      <c r="O36" s="565"/>
    </row>
  </sheetData>
  <mergeCells count="33">
    <mergeCell ref="B31:G31"/>
    <mergeCell ref="B32:G32"/>
    <mergeCell ref="B33:G33"/>
    <mergeCell ref="B34:G34"/>
    <mergeCell ref="B35:G35"/>
    <mergeCell ref="B30:G30"/>
    <mergeCell ref="B20:G20"/>
    <mergeCell ref="B21:G21"/>
    <mergeCell ref="B22:G22"/>
    <mergeCell ref="B23:G23"/>
    <mergeCell ref="B24:G24"/>
    <mergeCell ref="B25:G25"/>
    <mergeCell ref="B26:G26"/>
    <mergeCell ref="B27:G27"/>
    <mergeCell ref="B28:G28"/>
    <mergeCell ref="B29:O29"/>
    <mergeCell ref="B14:G14"/>
    <mergeCell ref="B15:G15"/>
    <mergeCell ref="B16:G16"/>
    <mergeCell ref="B13:O13"/>
    <mergeCell ref="B19:O19"/>
    <mergeCell ref="B17:G17"/>
    <mergeCell ref="B18:G18"/>
    <mergeCell ref="B4:G4"/>
    <mergeCell ref="H4:N4"/>
    <mergeCell ref="B7:O7"/>
    <mergeCell ref="B2:O2"/>
    <mergeCell ref="B12:G12"/>
    <mergeCell ref="B11:G11"/>
    <mergeCell ref="B6:G6"/>
    <mergeCell ref="B8:G8"/>
    <mergeCell ref="B9:G9"/>
    <mergeCell ref="B10:G10"/>
  </mergeCells>
  <pageMargins left="0.7" right="0.7" top="0.75" bottom="0.75" header="0.3" footer="0.3"/>
  <pageSetup paperSize="9" scale="80" fitToHeight="0" orientation="landscape" r:id="rId1"/>
</worksheet>
</file>

<file path=xl/worksheets/sheet6.xml><?xml version="1.0" encoding="utf-8"?>
<worksheet xmlns="http://schemas.openxmlformats.org/spreadsheetml/2006/main" xmlns:r="http://schemas.openxmlformats.org/officeDocument/2006/relationships">
  <dimension ref="B1:C203"/>
  <sheetViews>
    <sheetView zoomScale="90" zoomScaleNormal="90" workbookViewId="0"/>
  </sheetViews>
  <sheetFormatPr defaultColWidth="8.85546875" defaultRowHeight="15"/>
  <cols>
    <col min="1" max="1" width="4.7109375" style="599" customWidth="1"/>
    <col min="2" max="2" width="13.7109375" style="605" customWidth="1"/>
    <col min="3" max="3" width="122" style="606" customWidth="1"/>
    <col min="4" max="16384" width="8.85546875" style="599"/>
  </cols>
  <sheetData>
    <row r="1" spans="2:3">
      <c r="B1" s="601"/>
      <c r="C1" s="602"/>
    </row>
    <row r="2" spans="2:3">
      <c r="B2" s="35"/>
      <c r="C2" s="35"/>
    </row>
    <row r="3" spans="2:3" ht="24" customHeight="1">
      <c r="B3" s="844" t="str">
        <f>'Impl plan'!$B$4</f>
        <v>Programme objective 1: To implement services to prevent new HIV infections by increasing program coverage and case detection</v>
      </c>
      <c r="C3" s="844"/>
    </row>
    <row r="5" spans="2:3">
      <c r="B5" s="617" t="str">
        <f>'Impl plan'!B5</f>
        <v>Sl. No.</v>
      </c>
      <c r="C5" s="618" t="str">
        <f>'Impl plan'!C5</f>
        <v>Specific Activities</v>
      </c>
    </row>
    <row r="6" spans="2:3" ht="28.15" customHeight="1">
      <c r="B6" s="847" t="str">
        <f>'Impl plan'!B7</f>
        <v>Strategy 1.1: HIV case detection increased and HIV and STI transmission minimized and risk behaviour reduced among key populations through comprehensive targeted interventions and service provision</v>
      </c>
      <c r="C6" s="848"/>
    </row>
    <row r="7" spans="2:3">
      <c r="B7" s="607" t="str">
        <f>'Impl plan'!B8</f>
        <v>1.1.1</v>
      </c>
      <c r="C7" s="608" t="str">
        <f>'Impl plan'!C8</f>
        <v>Provide basic HIV prevention services for key populations  (BCC, condom/lubricants and NSE for PWID)</v>
      </c>
    </row>
    <row r="8" spans="2:3">
      <c r="B8" s="607" t="str">
        <f>'Impl plan'!B19</f>
        <v>1.1.2</v>
      </c>
      <c r="C8" s="608" t="str">
        <f>'Impl plan'!C19</f>
        <v>Provide HTC services for key populations</v>
      </c>
    </row>
    <row r="9" spans="2:3">
      <c r="B9" s="607" t="str">
        <f>'Impl plan'!B25</f>
        <v>1.1.3</v>
      </c>
      <c r="C9" s="608" t="str">
        <f>'Impl plan'!C25</f>
        <v>Provide OST services for people who inject drugs</v>
      </c>
    </row>
    <row r="10" spans="2:3">
      <c r="B10" s="619" t="str">
        <f>'Impl plan'!B27</f>
        <v>1.1.4</v>
      </c>
      <c r="C10" s="616" t="str">
        <f>'Impl plan'!C27</f>
        <v>Pilot Pre-exposure prophylaxis (PrEP) among KPs</v>
      </c>
    </row>
    <row r="11" spans="2:3">
      <c r="B11" s="623" t="str">
        <f>'Impl plan'!B28</f>
        <v>Strategy 1.2: Increased case detection and reduction of risk behaviours and provision of services for emerging risk populations and vulnerable groups</v>
      </c>
      <c r="C11" s="624"/>
    </row>
    <row r="12" spans="2:3">
      <c r="B12" s="609" t="str">
        <f>'Impl plan'!B29</f>
        <v>1.2.1</v>
      </c>
      <c r="C12" s="610" t="str">
        <f>'Impl plan'!C29</f>
        <v>Initiate HIV prevention service provision for international migrants</v>
      </c>
    </row>
    <row r="13" spans="2:3">
      <c r="B13" s="611" t="str">
        <f>'Impl plan'!B30</f>
        <v>1.2.1.1</v>
      </c>
      <c r="C13" s="610" t="str">
        <f>'Impl plan'!C30</f>
        <v xml:space="preserve">Conduct national situation assessment to find out migration prone districts and related information </v>
      </c>
    </row>
    <row r="14" spans="2:3">
      <c r="B14" s="611" t="str">
        <f>'Impl plan'!B31</f>
        <v>1.2.1.2</v>
      </c>
      <c r="C14" s="610" t="str">
        <f>'Impl plan'!C31</f>
        <v>BCC material development (leaflets, posters, brochures etc.)</v>
      </c>
    </row>
    <row r="15" spans="2:3">
      <c r="B15" s="611" t="str">
        <f>'Impl plan'!B32</f>
        <v>1.2.1.3</v>
      </c>
      <c r="C15" s="610" t="str">
        <f>'Impl plan'!C32</f>
        <v>Pre-departure orientation of migrants</v>
      </c>
    </row>
    <row r="16" spans="2:3">
      <c r="B16" s="611" t="str">
        <f>'Impl plan'!B33</f>
        <v>1.2.1.4</v>
      </c>
      <c r="C16" s="610" t="str">
        <f>'Impl plan'!C33</f>
        <v>Pilot community based interventions for migrants and their families</v>
      </c>
    </row>
    <row r="17" spans="2:3">
      <c r="B17" s="609" t="str">
        <f>'Impl plan'!B34</f>
        <v>1.2.2</v>
      </c>
      <c r="C17" s="610" t="str">
        <f>'Impl plan'!C34</f>
        <v>Develop and implement interventions for emerging risk and higher vulnerable population</v>
      </c>
    </row>
    <row r="18" spans="2:3">
      <c r="B18" s="611" t="str">
        <f>'Impl plan'!B35</f>
        <v>1.2.2.1</v>
      </c>
      <c r="C18" s="610" t="str">
        <f>'Impl plan'!C35</f>
        <v>Conduct national vulnerability mapping study</v>
      </c>
    </row>
    <row r="19" spans="2:3">
      <c r="B19" s="611" t="str">
        <f>'Impl plan'!B36</f>
        <v>1.2.2.2</v>
      </c>
      <c r="C19" s="610" t="str">
        <f>'Impl plan'!C36</f>
        <v>Conduct study on identifed emerging risk and higher vulnerable population</v>
      </c>
    </row>
    <row r="20" spans="2:3">
      <c r="B20" s="611" t="str">
        <f>'Impl plan'!B37</f>
        <v>1.2.2.3</v>
      </c>
      <c r="C20" s="610" t="str">
        <f>'Impl plan'!C37</f>
        <v xml:space="preserve">Interventions for vulnerable populations  </v>
      </c>
    </row>
    <row r="21" spans="2:3">
      <c r="B21" s="611" t="str">
        <f>'Impl plan'!B38</f>
        <v>1.2.2.4</v>
      </c>
      <c r="C21" s="610" t="str">
        <f>'Impl plan'!C38</f>
        <v>Update/ develop of training material on LSE for Vulnerable Young People</v>
      </c>
    </row>
    <row r="22" spans="2:3">
      <c r="B22" s="611" t="str">
        <f>'Impl plan'!B39</f>
        <v>1.2.2.5</v>
      </c>
      <c r="C22" s="610" t="str">
        <f>'Impl plan'!C39</f>
        <v xml:space="preserve">Training of master trainers and peer educators </v>
      </c>
    </row>
    <row r="23" spans="2:3">
      <c r="B23" s="611" t="str">
        <f>'Impl plan'!B40</f>
        <v>1.2.2.6</v>
      </c>
      <c r="C23" s="612" t="str">
        <f>'Impl plan'!C40</f>
        <v>Community led LSE session</v>
      </c>
    </row>
    <row r="24" spans="2:3">
      <c r="B24" s="609" t="str">
        <f>'Impl plan'!B41</f>
        <v xml:space="preserve">1.2.3 </v>
      </c>
      <c r="C24" s="610" t="str">
        <f>'Impl plan'!C41</f>
        <v>Implement basic HIV prevention services for non-injecting drug users</v>
      </c>
    </row>
    <row r="25" spans="2:3">
      <c r="B25" s="609" t="str">
        <f>'Impl plan'!B42</f>
        <v>1.2.4</v>
      </c>
      <c r="C25" s="610" t="str">
        <f>'Impl plan'!C42</f>
        <v>Implement basic HIV prevention services for clients of sex workers</v>
      </c>
    </row>
    <row r="26" spans="2:3">
      <c r="B26" s="609" t="str">
        <f>'Impl plan'!B43</f>
        <v>1.2.5</v>
      </c>
      <c r="C26" s="610" t="str">
        <f>'Impl plan'!C43</f>
        <v>Continuet interventions for prisoners</v>
      </c>
    </row>
    <row r="27" spans="2:3">
      <c r="B27" s="609" t="str">
        <f>'Impl plan'!B44</f>
        <v>1.2.5</v>
      </c>
      <c r="C27" s="610" t="str">
        <f>'Impl plan'!C44</f>
        <v>Conduct pilot intervention for Especially Vulnerable Adolescents (EVA) with subsequent assessment</v>
      </c>
    </row>
    <row r="28" spans="2:3">
      <c r="B28" s="611" t="str">
        <f>'Impl plan'!B45</f>
        <v>1.2.6.1</v>
      </c>
      <c r="C28" s="610" t="str">
        <f>'Impl plan'!C45</f>
        <v>Street-based</v>
      </c>
    </row>
    <row r="29" spans="2:3">
      <c r="B29" s="620" t="str">
        <f>'Impl plan'!B46</f>
        <v>1.2.6.2</v>
      </c>
      <c r="C29" s="616" t="str">
        <f>'Impl plan'!C46</f>
        <v>Institution-based (Juvenile home, Vagrant home etc.)</v>
      </c>
    </row>
    <row r="30" spans="2:3">
      <c r="B30" s="623" t="str">
        <f>'Impl plan'!B47</f>
        <v>Strategy 1.3: Increased case detection and awareness raising among general population and young people</v>
      </c>
      <c r="C30" s="624"/>
    </row>
    <row r="31" spans="2:3">
      <c r="B31" s="609" t="str">
        <f>'Impl plan'!B48</f>
        <v>1.3.1</v>
      </c>
      <c r="C31" s="610" t="str">
        <f>'Impl plan'!C48</f>
        <v>Conduct mass media BCC campaigns based on different risk behaviors including STI</v>
      </c>
    </row>
    <row r="32" spans="2:3" ht="30">
      <c r="B32" s="609" t="str">
        <f>'Impl plan'!B49</f>
        <v>1.3.2</v>
      </c>
      <c r="C32" s="610" t="str">
        <f>'Impl plan'!C49</f>
        <v>Provide technical assistance and support to relevant department of Education Ministry to include HIV messages in LSE curriculum and implement accordingly</v>
      </c>
    </row>
    <row r="33" spans="2:3">
      <c r="B33" s="609" t="str">
        <f>'Impl plan'!B50</f>
        <v>1.3.3</v>
      </c>
      <c r="C33" s="610" t="str">
        <f>'Impl plan'!C50</f>
        <v>Update Education Curriculum  and TTI Training curriculum on HIV &amp; LSE from Grade- iv to Xii</v>
      </c>
    </row>
    <row r="34" spans="2:3">
      <c r="B34" s="609" t="str">
        <f>'Impl plan'!B51</f>
        <v>1.3.4</v>
      </c>
      <c r="C34" s="610" t="str">
        <f>'Impl plan'!C51</f>
        <v xml:space="preserve">Training of master trainers and peer educators </v>
      </c>
    </row>
    <row r="35" spans="2:3">
      <c r="B35" s="619" t="str">
        <f>'Impl plan'!B52</f>
        <v>1.3.5</v>
      </c>
      <c r="C35" s="616" t="str">
        <f>'Impl plan'!C52</f>
        <v>School based LSE session ( formal and non-formal set up)</v>
      </c>
    </row>
    <row r="36" spans="2:3" ht="28.15" customHeight="1">
      <c r="B36" s="847" t="str">
        <f>'Impl plan'!B53</f>
        <v>Strategy 1.4: Strengthening of HIV and STI prevention and other SRH services in public health care settings and functional linkages for co-infections (e.g. TB, Hepatitis, etc.)</v>
      </c>
      <c r="C36" s="848"/>
    </row>
    <row r="37" spans="2:3">
      <c r="B37" s="621" t="str">
        <f>'Impl plan'!B54</f>
        <v>1.4.1</v>
      </c>
      <c r="C37" s="622" t="str">
        <f>'Impl plan'!C54</f>
        <v>Expand HTC services to public hospitals at district HQ</v>
      </c>
    </row>
    <row r="38" spans="2:3">
      <c r="B38" s="611" t="str">
        <f>'Impl plan'!B55</f>
        <v>1.4.1.1</v>
      </c>
      <c r="C38" s="610" t="str">
        <f>'Impl plan'!C55</f>
        <v>Revision/adapation and printing of guidelines for HTC</v>
      </c>
    </row>
    <row r="39" spans="2:3">
      <c r="B39" s="611" t="str">
        <f>'Impl plan'!B56</f>
        <v>1.4.1.2</v>
      </c>
      <c r="C39" s="610" t="str">
        <f>'Impl plan'!C56</f>
        <v>Establish HTC services in public hospitals at district level</v>
      </c>
    </row>
    <row r="40" spans="2:3">
      <c r="B40" s="611" t="str">
        <f>'Impl plan'!B57</f>
        <v>1.4.1.3</v>
      </c>
      <c r="C40" s="610" t="str">
        <f>'Impl plan'!C57</f>
        <v>Continue HTC services in public hospitals at district level</v>
      </c>
    </row>
    <row r="41" spans="2:3">
      <c r="B41" s="611" t="str">
        <f>'Impl plan'!B58</f>
        <v>1.4.1.4</v>
      </c>
      <c r="C41" s="610" t="str">
        <f>'Impl plan'!C58</f>
        <v>HIV testing kit</v>
      </c>
    </row>
    <row r="42" spans="2:3">
      <c r="B42" s="609" t="str">
        <f>'Impl plan'!B59</f>
        <v>1.4.2</v>
      </c>
      <c r="C42" s="610" t="str">
        <f>'Impl plan'!C59</f>
        <v xml:space="preserve">Strengthen post-exposure prophylaxis (PEP) </v>
      </c>
    </row>
    <row r="43" spans="2:3">
      <c r="B43" s="611" t="str">
        <f>'Impl plan'!B60</f>
        <v>1.4.2.1</v>
      </c>
      <c r="C43" s="610" t="str">
        <f>'Impl plan'!C60</f>
        <v>Promote awareness among health care workers (64 districts)</v>
      </c>
    </row>
    <row r="44" spans="2:3">
      <c r="B44" s="611" t="str">
        <f>'Impl plan'!B61</f>
        <v>1.4.2.2</v>
      </c>
      <c r="C44" s="610" t="str">
        <f>'Impl plan'!C61</f>
        <v>Establish referral and support centre</v>
      </c>
    </row>
    <row r="45" spans="2:3">
      <c r="B45" s="613" t="str">
        <f>'Impl plan'!B62</f>
        <v>1.4.2.3</v>
      </c>
      <c r="C45" s="610" t="str">
        <f>'Impl plan'!C62</f>
        <v>Provide PEP starter kits</v>
      </c>
    </row>
    <row r="46" spans="2:3">
      <c r="B46" s="609" t="str">
        <f>'Impl plan'!B63</f>
        <v>1.4.3</v>
      </c>
      <c r="C46" s="610" t="str">
        <f>'Impl plan'!C63</f>
        <v>Strengthen STI service provision and utlization</v>
      </c>
    </row>
    <row r="47" spans="2:3">
      <c r="B47" s="611" t="str">
        <f>'Impl plan'!B64</f>
        <v>1.4.3.1</v>
      </c>
      <c r="C47" s="610" t="str">
        <f>'Impl plan'!C64</f>
        <v xml:space="preserve">Integrate and promote STI knowledge in general health BCC strategies </v>
      </c>
    </row>
    <row r="48" spans="2:3">
      <c r="B48" s="611" t="str">
        <f>'Impl plan'!B65</f>
        <v>1.4.3.2</v>
      </c>
      <c r="C48" s="610" t="str">
        <f>'Impl plan'!C65</f>
        <v>Sensitize service providers to the special needs of key populations, PLHIV and young people (linked with 1.4.3.4)</v>
      </c>
    </row>
    <row r="49" spans="2:3">
      <c r="B49" s="611" t="str">
        <f>'Impl plan'!B66</f>
        <v>1.4.3.3</v>
      </c>
      <c r="C49" s="610" t="str">
        <f>'Impl plan'!C66</f>
        <v>Review, revise, update and print STI management guideline</v>
      </c>
    </row>
    <row r="50" spans="2:3">
      <c r="B50" s="611" t="str">
        <f>'Impl plan'!B67</f>
        <v>1.4.3.4</v>
      </c>
      <c r="C50" s="610" t="str">
        <f>'Impl plan'!C67</f>
        <v>Training of service providers as per management guideline</v>
      </c>
    </row>
    <row r="51" spans="2:3">
      <c r="B51" s="611" t="str">
        <f>'Impl plan'!B68</f>
        <v>1.4.3.5</v>
      </c>
      <c r="C51" s="610" t="str">
        <f>'Impl plan'!C68</f>
        <v>Strengthen higher level STI services for complicated case management</v>
      </c>
    </row>
    <row r="52" spans="2:3">
      <c r="B52" s="614" t="str">
        <f>'Impl plan'!B69</f>
        <v>1.4.4</v>
      </c>
      <c r="C52" s="610" t="str">
        <f>'Impl plan'!C69</f>
        <v>Provide PMTCT services</v>
      </c>
    </row>
    <row r="53" spans="2:3">
      <c r="B53" s="611" t="str">
        <f>'Impl plan'!B70</f>
        <v>1.4.4.1</v>
      </c>
      <c r="C53" s="610" t="str">
        <f>'Impl plan'!C70</f>
        <v>Development of protocol for PMTCT</v>
      </c>
    </row>
    <row r="54" spans="2:3">
      <c r="B54" s="611" t="str">
        <f>'Impl plan'!B71</f>
        <v>1.4.4.2</v>
      </c>
      <c r="C54" s="610" t="str">
        <f>'Impl plan'!C71</f>
        <v>Capacity development of staff involved in blood collection in selected districts with high PLHIV population</v>
      </c>
    </row>
    <row r="55" spans="2:3">
      <c r="B55" s="611" t="str">
        <f>'Impl plan'!B72</f>
        <v>1.4.4.3</v>
      </c>
      <c r="C55" s="610" t="str">
        <f>'Impl plan'!C72</f>
        <v>Screening, identification and provide PMTCT services to HIV+ pregnant women</v>
      </c>
    </row>
    <row r="56" spans="2:3">
      <c r="B56" s="615" t="str">
        <f>'Impl plan'!B73</f>
        <v>1.4.5</v>
      </c>
      <c r="C56" s="616" t="str">
        <f>'Impl plan'!C73</f>
        <v>Community mobilization and referral services to the Care support and treatment and PMTCT program</v>
      </c>
    </row>
    <row r="57" spans="2:3">
      <c r="B57" s="601"/>
      <c r="C57" s="603"/>
    </row>
    <row r="58" spans="2:3">
      <c r="B58" s="601"/>
      <c r="C58" s="603"/>
    </row>
    <row r="59" spans="2:3">
      <c r="B59" s="601"/>
      <c r="C59" s="603"/>
    </row>
    <row r="60" spans="2:3" ht="27.6" customHeight="1">
      <c r="B60" s="844" t="str">
        <f>'Impl plan'!B74</f>
        <v>Program objective 2: To provide universal access to treatment, care and support services for the people living with HIV</v>
      </c>
      <c r="C60" s="844"/>
    </row>
    <row r="61" spans="2:3">
      <c r="C61" s="35"/>
    </row>
    <row r="62" spans="2:3">
      <c r="B62" s="617" t="str">
        <f t="shared" ref="B62:C62" si="0">B5</f>
        <v>Sl. No.</v>
      </c>
      <c r="C62" s="618" t="str">
        <f t="shared" si="0"/>
        <v>Specific Activities</v>
      </c>
    </row>
    <row r="63" spans="2:3" ht="31.15" customHeight="1">
      <c r="B63" s="847" t="str">
        <f>'Impl plan'!B77</f>
        <v>Strategy 2.1: Reduce mortality and morbidity among PLHIV through early detection and treatment by system strengthening of government, non-government and private sector facilities</v>
      </c>
      <c r="C63" s="848"/>
    </row>
    <row r="64" spans="2:3">
      <c r="B64" s="627" t="str">
        <f>'Impl plan'!B78</f>
        <v>2.1.1</v>
      </c>
      <c r="C64" s="622" t="str">
        <f>'Impl plan'!C78</f>
        <v>Provide ART  to eligible PLHIV</v>
      </c>
    </row>
    <row r="65" spans="2:3">
      <c r="B65" s="626" t="str">
        <f>'Impl plan'!B79</f>
        <v>2.1.2</v>
      </c>
      <c r="C65" s="616" t="str">
        <f>'Impl plan'!C79</f>
        <v>Number of PLHIV on ART receive viral load test</v>
      </c>
    </row>
    <row r="66" spans="2:3" ht="30" customHeight="1">
      <c r="B66" s="847" t="str">
        <f>'Impl plan'!B80</f>
        <v>Strategy 2.2:Ensure capacity of service providers for out-patient and in-patient medical management of PLHIV in government, non-government and private sectors</v>
      </c>
      <c r="C66" s="848"/>
    </row>
    <row r="67" spans="2:3">
      <c r="B67" s="627" t="str">
        <f>'Impl plan'!B81</f>
        <v>2.2.1</v>
      </c>
      <c r="C67" s="610" t="str">
        <f>'Impl plan'!C81</f>
        <v>Training of ART service providers of public and private sector with annual refresher for out-patient and in-patient care</v>
      </c>
    </row>
    <row r="68" spans="2:3">
      <c r="B68" s="625" t="str">
        <f>'Impl plan'!B82</f>
        <v>2.2.2</v>
      </c>
      <c r="C68" s="610" t="str">
        <f>'Impl plan'!C82</f>
        <v>Develop and maintain an accreditation system for trained service providers</v>
      </c>
    </row>
    <row r="69" spans="2:3" ht="30">
      <c r="B69" s="625" t="str">
        <f>'Impl plan'!B83</f>
        <v>2.2.3</v>
      </c>
      <c r="C69" s="610" t="str">
        <f>'Impl plan'!C83</f>
        <v>Develop selected Internal Medicine department of public medical college hospitals for complex treatment referral center and support for local level providers</v>
      </c>
    </row>
    <row r="70" spans="2:3">
      <c r="B70" s="626" t="str">
        <f>'Impl plan'!B84</f>
        <v>2.2.4</v>
      </c>
      <c r="C70" s="616" t="str">
        <f>'Impl plan'!C84</f>
        <v>Establish pediatric HIV management center in a child hospital</v>
      </c>
    </row>
    <row r="71" spans="2:3">
      <c r="B71" s="623" t="str">
        <f>'Impl plan'!B85</f>
        <v>Strategy 2.3: Ensure functional systems for related policy adoption, linkages and update</v>
      </c>
      <c r="C71" s="624"/>
    </row>
    <row r="72" spans="2:3">
      <c r="B72" s="627" t="str">
        <f>'Impl plan'!B86</f>
        <v>2.3.1</v>
      </c>
      <c r="C72" s="622" t="str">
        <f>'Impl plan'!C86</f>
        <v>Review, update and dissemination of treatment protocol - 2 times</v>
      </c>
    </row>
    <row r="73" spans="2:3">
      <c r="B73" s="625" t="str">
        <f>'Impl plan'!B87</f>
        <v>2.3.2</v>
      </c>
      <c r="C73" s="610" t="str">
        <f>'Impl plan'!C87</f>
        <v>Integrate HIV treatment and management in medical curriculum</v>
      </c>
    </row>
    <row r="74" spans="2:3">
      <c r="B74" s="625" t="str">
        <f>'Impl plan'!B88</f>
        <v>2.3.3</v>
      </c>
      <c r="C74" s="610" t="str">
        <f>'Impl plan'!C88</f>
        <v>Develop and maintain functional HIV treatment and management task force</v>
      </c>
    </row>
    <row r="75" spans="2:3">
      <c r="B75" s="626" t="str">
        <f>'Impl plan'!B89</f>
        <v>2.3.4</v>
      </c>
      <c r="C75" s="616" t="str">
        <f>'Impl plan'!C89</f>
        <v>Develop, facilitate and maintain Professional Society of ART providers</v>
      </c>
    </row>
    <row r="76" spans="2:3" ht="30.6" customHeight="1">
      <c r="B76" s="847" t="str">
        <f>'Impl plan'!B90</f>
        <v>Strategy 2.4: A comprehensive approach to community support system adopted and implemented to strengthen treatment adherence, care and support for PLHIV including CABA and OVC</v>
      </c>
      <c r="C76" s="848"/>
    </row>
    <row r="77" spans="2:3">
      <c r="B77" s="627" t="str">
        <f>'Impl plan'!B91</f>
        <v>2.4.1</v>
      </c>
      <c r="C77" s="622" t="str">
        <f>'Impl plan'!C91</f>
        <v>Implement comprehensive care plan model</v>
      </c>
    </row>
    <row r="78" spans="2:3">
      <c r="B78" s="611" t="str">
        <f>'Impl plan'!B92</f>
        <v>2.4.1.1</v>
      </c>
      <c r="C78" s="610" t="str">
        <f>'Impl plan'!C92</f>
        <v>Develop/update protocol for care and support</v>
      </c>
    </row>
    <row r="79" spans="2:3">
      <c r="B79" s="611" t="str">
        <f>'Impl plan'!B93</f>
        <v>2.4.1.2</v>
      </c>
      <c r="C79" s="610" t="str">
        <f>'Impl plan'!C93</f>
        <v>Conduct capacity buidling for care providers</v>
      </c>
    </row>
    <row r="80" spans="2:3">
      <c r="B80" s="611" t="str">
        <f>'Impl plan'!B94</f>
        <v>2.4.1.3</v>
      </c>
      <c r="C80" s="610" t="str">
        <f>'Impl plan'!C94</f>
        <v>Map support services for care and support with required local level advocacy</v>
      </c>
    </row>
    <row r="81" spans="2:3">
      <c r="B81" s="611" t="str">
        <f>'Impl plan'!B95</f>
        <v>2.4.1.4</v>
      </c>
      <c r="C81" s="610" t="str">
        <f>'Costed Impl plan'!C110</f>
        <v>Number of PLHIV enrolled in HIV care</v>
      </c>
    </row>
    <row r="82" spans="2:3">
      <c r="B82" s="611" t="str">
        <f>'Impl plan'!B96</f>
        <v>2.4.1.5</v>
      </c>
      <c r="C82" s="610" t="str">
        <f>'Costed Impl plan'!C111</f>
        <v>Number of CABA and OVC enrolled in care and support</v>
      </c>
    </row>
    <row r="83" spans="2:3">
      <c r="B83" s="609" t="str">
        <f>'Impl plan'!B97</f>
        <v>2.4.2</v>
      </c>
      <c r="C83" s="610" t="str">
        <f>'Impl plan'!C97</f>
        <v>Strengthen capacity of PLHIV organisations to take lead role in care and support coordination</v>
      </c>
    </row>
    <row r="84" spans="2:3">
      <c r="B84" s="611" t="str">
        <f>'Impl plan'!B98</f>
        <v>2.4.2.1</v>
      </c>
      <c r="C84" s="610" t="str">
        <f>'Impl plan'!C98</f>
        <v>Conduct training for PLHIV groups</v>
      </c>
    </row>
    <row r="85" spans="2:3">
      <c r="B85" s="611" t="str">
        <f>'Impl plan'!B99</f>
        <v>2.4.2.2</v>
      </c>
      <c r="C85" s="610" t="str">
        <f>'Impl plan'!C99</f>
        <v>Provide funding to PLHIV organisations to set up and run care and support coordination role</v>
      </c>
    </row>
    <row r="86" spans="2:3">
      <c r="B86" s="611" t="str">
        <f>'Impl plan'!B100</f>
        <v>2.4.2.2.1</v>
      </c>
      <c r="C86" s="628" t="str">
        <f>'Impl plan'!C100</f>
        <v>Set up support</v>
      </c>
    </row>
    <row r="87" spans="2:3">
      <c r="B87" s="620" t="str">
        <f>'Impl plan'!B101</f>
        <v>2.4.2.2.2</v>
      </c>
      <c r="C87" s="629" t="str">
        <f>'Impl plan'!C101</f>
        <v>Running support</v>
      </c>
    </row>
    <row r="88" spans="2:3">
      <c r="B88" s="604"/>
      <c r="C88" s="600"/>
    </row>
    <row r="89" spans="2:3">
      <c r="B89" s="604"/>
      <c r="C89" s="600"/>
    </row>
    <row r="90" spans="2:3" ht="33" customHeight="1">
      <c r="B90" s="845" t="str">
        <f>'Impl plan'!B102</f>
        <v>Program objective 3: To strengthen the coordination mechanisms and management capacity at different levels to ensure an effective national multi-sector HIV/AIDS response</v>
      </c>
      <c r="C90" s="845"/>
    </row>
    <row r="91" spans="2:3">
      <c r="B91" s="599"/>
      <c r="C91" s="599"/>
    </row>
    <row r="92" spans="2:3">
      <c r="B92" s="617" t="str">
        <f t="shared" ref="B92:C92" si="1">B62</f>
        <v>Sl. No.</v>
      </c>
      <c r="C92" s="618" t="str">
        <f t="shared" si="1"/>
        <v>Specific Activities</v>
      </c>
    </row>
    <row r="93" spans="2:3">
      <c r="B93" s="623" t="str">
        <f>'Impl plan'!B105</f>
        <v>Strategy 3.1: Strengthen NAC and TC-NAC for a more functional role in guiding the national HIV response</v>
      </c>
      <c r="C93" s="624"/>
    </row>
    <row r="94" spans="2:3">
      <c r="B94" s="621" t="str">
        <f>'Impl plan'!B106</f>
        <v>3.1.1</v>
      </c>
      <c r="C94" s="622" t="str">
        <f>'Impl plan'!C106</f>
        <v xml:space="preserve">Conduct annual meeting of NAC </v>
      </c>
    </row>
    <row r="95" spans="2:3">
      <c r="B95" s="609" t="str">
        <f>'Impl plan'!B107</f>
        <v>3.1.2</v>
      </c>
      <c r="C95" s="610" t="str">
        <f>'Impl plan'!C107</f>
        <v>Conduct quarterly meetings of TC-NAC</v>
      </c>
    </row>
    <row r="96" spans="2:3">
      <c r="B96" s="619" t="str">
        <f>'Impl plan'!B108</f>
        <v>3.1.3</v>
      </c>
      <c r="C96" s="616" t="str">
        <f>'Impl plan'!C108</f>
        <v xml:space="preserve">Produce annual program report </v>
      </c>
    </row>
    <row r="97" spans="2:3">
      <c r="B97" s="623" t="str">
        <f>'Impl plan'!B109</f>
        <v>Strategy  3.2: Strengthen NASP through providing appropriate structure, human resources and other logistics</v>
      </c>
      <c r="C97" s="624"/>
    </row>
    <row r="98" spans="2:3">
      <c r="B98" s="621" t="str">
        <f>'Impl plan'!B110</f>
        <v>3.2.1</v>
      </c>
      <c r="C98" s="622" t="str">
        <f>'Impl plan'!C110</f>
        <v>Continue four sub-units and provide logistical support</v>
      </c>
    </row>
    <row r="99" spans="2:3">
      <c r="B99" s="611" t="str">
        <f>'Impl plan'!B111</f>
        <v>3.2.1.1</v>
      </c>
      <c r="C99" s="610" t="str">
        <f>'Impl plan'!C111</f>
        <v>Provide equipment, furniture and logistics</v>
      </c>
    </row>
    <row r="100" spans="2:3">
      <c r="B100" s="611" t="str">
        <f>'Impl plan'!B112</f>
        <v>3.2.1.2</v>
      </c>
      <c r="C100" s="610" t="str">
        <f>'Impl plan'!C112</f>
        <v>Provide utilities and supplies</v>
      </c>
    </row>
    <row r="101" spans="2:3">
      <c r="B101" s="609" t="str">
        <f>'Impl plan'!B113</f>
        <v>3.2.2</v>
      </c>
      <c r="C101" s="610" t="str">
        <f>'Impl plan'!C113</f>
        <v>Recruit/ appoint technical experts as per unit's need</v>
      </c>
    </row>
    <row r="102" spans="2:3">
      <c r="B102" s="619" t="str">
        <f>'Impl plan'!B114</f>
        <v>3.2.3</v>
      </c>
      <c r="C102" s="616" t="str">
        <f>'Impl plan'!C114</f>
        <v>Conduct advisory committee meetings (half yearly)</v>
      </c>
    </row>
    <row r="103" spans="2:3" ht="30" customHeight="1">
      <c r="B103" s="847" t="str">
        <f>'Impl plan'!B115</f>
        <v>Strategy 3.3: Conduct stakeholder forums to coordinate, review and discuss the HIV response across other ministries and departments and with civil society groups</v>
      </c>
      <c r="C103" s="848"/>
    </row>
    <row r="104" spans="2:3">
      <c r="B104" s="621" t="str">
        <f>'Impl plan'!B116</f>
        <v>3.3.1</v>
      </c>
      <c r="C104" s="622" t="str">
        <f>'Impl plan'!C116</f>
        <v>Conduct 6-monthly donor coordination meetings</v>
      </c>
    </row>
    <row r="105" spans="2:3">
      <c r="B105" s="609" t="str">
        <f>'Impl plan'!B117</f>
        <v>3.3.2</v>
      </c>
      <c r="C105" s="610" t="str">
        <f>'Impl plan'!C117</f>
        <v xml:space="preserve">Conduct yearly meetings of Ministry focal points </v>
      </c>
    </row>
    <row r="106" spans="2:3">
      <c r="B106" s="609" t="str">
        <f>'Impl plan'!B118</f>
        <v>3.3.3</v>
      </c>
      <c r="C106" s="610" t="str">
        <f>'Impl plan'!C118</f>
        <v>Conduct biannual HIV Congress</v>
      </c>
    </row>
    <row r="107" spans="2:3">
      <c r="B107" s="619" t="str">
        <f>'Impl plan'!B119</f>
        <v>3.3.4</v>
      </c>
      <c r="C107" s="616" t="str">
        <f>'Impl plan'!C119</f>
        <v>Develop functional district level coordination under district health authority (CS) to be facilitated by local agency</v>
      </c>
    </row>
    <row r="108" spans="2:3">
      <c r="B108" s="623" t="str">
        <f>'Impl plan'!B120</f>
        <v>Strategy 3.4: Conduct advocacy activities for an enabling environment</v>
      </c>
      <c r="C108" s="624"/>
    </row>
    <row r="109" spans="2:3">
      <c r="B109" s="611" t="str">
        <f>'Costed Impl plan'!B141</f>
        <v>3.4.1</v>
      </c>
      <c r="C109" s="610" t="str">
        <f>'Impl plan'!C121</f>
        <v>Develop / revise HIV / AIDS advocacy strategy</v>
      </c>
    </row>
    <row r="110" spans="2:3">
      <c r="B110" s="611" t="str">
        <f>'Costed Impl plan'!B142</f>
        <v>3.4.2</v>
      </c>
      <c r="C110" s="610" t="str">
        <f>'Impl plan'!C122</f>
        <v>Develop advocacy materials (packages)</v>
      </c>
    </row>
    <row r="111" spans="2:3">
      <c r="B111" s="611" t="str">
        <f>'Costed Impl plan'!B143</f>
        <v>3.4.3</v>
      </c>
      <c r="C111" s="610" t="str">
        <f>'Impl plan'!C123</f>
        <v>Conduct national level advocacy</v>
      </c>
    </row>
    <row r="112" spans="2:3">
      <c r="B112" s="611" t="str">
        <f>'Costed Impl plan'!B144</f>
        <v>3.4.4</v>
      </c>
      <c r="C112" s="610" t="str">
        <f>'Impl plan'!C124</f>
        <v>Conduct regional/ divisional/ district level advocacy</v>
      </c>
    </row>
    <row r="113" spans="2:3">
      <c r="B113" s="611" t="str">
        <f>'Costed Impl plan'!B145</f>
        <v>3.4.5</v>
      </c>
      <c r="C113" s="610" t="str">
        <f>'Impl plan'!C125</f>
        <v xml:space="preserve">Conduct local level advocacy </v>
      </c>
    </row>
    <row r="114" spans="2:3">
      <c r="B114" s="620" t="str">
        <f>'Costed Impl plan'!B146</f>
        <v>3.4.6</v>
      </c>
      <c r="C114" s="616" t="str">
        <f>'Impl plan'!C126</f>
        <v>Celebration of World AIDS Day</v>
      </c>
    </row>
    <row r="115" spans="2:3" ht="16.899999999999999" customHeight="1">
      <c r="B115" s="847" t="str">
        <f>'Impl plan'!B127</f>
        <v>Strategy  3.5: Facilitate development and implementation of activities and plans in key sectors for strengthened collaboration on HIV prevention</v>
      </c>
      <c r="C115" s="848"/>
    </row>
    <row r="116" spans="2:3">
      <c r="B116" s="621" t="str">
        <f>'Impl plan'!B128</f>
        <v>3.5.1</v>
      </c>
      <c r="C116" s="622" t="str">
        <f>'Impl plan'!C128</f>
        <v>Provide technical support for development and implement workplans in key Ministries</v>
      </c>
    </row>
    <row r="117" spans="2:3">
      <c r="B117" s="609" t="str">
        <f>'Impl plan'!B129</f>
        <v>3.5.2</v>
      </c>
      <c r="C117" s="610" t="str">
        <f>'Impl plan'!C129</f>
        <v>Develop and implement strategy for Ministry of Home Affairs</v>
      </c>
    </row>
    <row r="118" spans="2:3">
      <c r="B118" s="609" t="str">
        <f>'Impl plan'!B130</f>
        <v>3.5.3</v>
      </c>
      <c r="C118" s="610" t="str">
        <f>'Impl plan'!C130</f>
        <v>Provide technical support to Human Rights Commission to address HIV related human rights issues</v>
      </c>
    </row>
    <row r="119" spans="2:3">
      <c r="B119" s="609" t="str">
        <f>'Impl plan'!B131</f>
        <v>3.5.4</v>
      </c>
      <c r="C119" s="610" t="str">
        <f>'Impl plan'!C131</f>
        <v xml:space="preserve">Provide technical support to Faith Based Organisations for advocacy, development of IEC materials and Training </v>
      </c>
    </row>
    <row r="120" spans="2:3">
      <c r="B120" s="609" t="str">
        <f>'Impl plan'!B132</f>
        <v>3.5.5</v>
      </c>
      <c r="C120" s="610" t="str">
        <f>'Impl plan'!C132</f>
        <v>Provide technical support, advocacy and capacity development to private sector to strengthen workplace responses to HIV</v>
      </c>
    </row>
    <row r="121" spans="2:3">
      <c r="B121" s="625" t="str">
        <f>'Impl plan'!B133</f>
        <v>3.5.6</v>
      </c>
      <c r="C121" s="610" t="str">
        <f>'Impl plan'!C133</f>
        <v>Sensitize and mobilize the involvement of the media in contributing to the HIV response in Bangladesh</v>
      </c>
    </row>
    <row r="122" spans="2:3" ht="30">
      <c r="B122" s="625" t="str">
        <f>'Impl plan'!B134</f>
        <v>3.5.7</v>
      </c>
      <c r="C122" s="610" t="str">
        <f>'Impl plan'!C134</f>
        <v>Translate into Bangla for wide dissemination of the Recommendation concerning HIV and AIDS and the World of Work among government, employers and workers</v>
      </c>
    </row>
    <row r="123" spans="2:3" ht="30">
      <c r="B123" s="625" t="str">
        <f>'Impl plan'!B135</f>
        <v>3.5.8</v>
      </c>
      <c r="C123" s="610" t="str">
        <f>'Impl plan'!C135</f>
        <v xml:space="preserve">Develop posters and leaflets to ensure non-discrimination and promote protection of HIV infected people in recruitment and employment </v>
      </c>
    </row>
    <row r="124" spans="2:3">
      <c r="B124" s="625" t="str">
        <f>'Impl plan'!B136</f>
        <v>3.5.9</v>
      </c>
      <c r="C124" s="610" t="str">
        <f>'Impl plan'!C136</f>
        <v xml:space="preserve">Capacity building of employers federation and trade unions on HIV/AIDS </v>
      </c>
    </row>
    <row r="125" spans="2:3">
      <c r="B125" s="625" t="str">
        <f>'Impl plan'!B137</f>
        <v>3.5.10</v>
      </c>
      <c r="C125" s="610" t="str">
        <f>'Impl plan'!C137</f>
        <v xml:space="preserve">Providing support to the Ministry of Labour and Employment in adoption of the national workplace policy on HIV/AIDS </v>
      </c>
    </row>
    <row r="126" spans="2:3">
      <c r="B126" s="626" t="str">
        <f>'Impl plan'!B138</f>
        <v>3.5.11</v>
      </c>
      <c r="C126" s="616" t="str">
        <f>'Impl plan'!C138</f>
        <v xml:space="preserve">Providing support to the Employers Federation and Trade Unions for adoption of the workplace policy on HIV/AIDS by its members </v>
      </c>
    </row>
    <row r="127" spans="2:3">
      <c r="B127" s="623" t="str">
        <f>'Impl plan'!B139</f>
        <v>Strategy 3.6:  Develop human resource capacity across the HIV sector for enhanced response</v>
      </c>
      <c r="C127" s="624"/>
    </row>
    <row r="128" spans="2:3">
      <c r="B128" s="621" t="str">
        <f>'Impl plan'!B140</f>
        <v>3.6.1</v>
      </c>
      <c r="C128" s="622" t="str">
        <f>'Impl plan'!C140</f>
        <v>Perform functional analysis of human resource needs to implement the national strategy</v>
      </c>
    </row>
    <row r="129" spans="2:3">
      <c r="B129" s="609" t="str">
        <f>'Impl plan'!B141</f>
        <v>3.6.2</v>
      </c>
      <c r="C129" s="610" t="str">
        <f>'Impl plan'!C141</f>
        <v xml:space="preserve">Develop core curriculum and training resources </v>
      </c>
    </row>
    <row r="130" spans="2:3">
      <c r="B130" s="619" t="str">
        <f>'Impl plan'!B142</f>
        <v>3.6.3</v>
      </c>
      <c r="C130" s="616" t="str">
        <f>'Impl plan'!C142</f>
        <v>Develop and implement training plan</v>
      </c>
    </row>
    <row r="131" spans="2:3">
      <c r="B131" s="623" t="str">
        <f>'Impl plan'!B143</f>
        <v>Strategy 3.7:  Strengthen the health system response to HIV</v>
      </c>
      <c r="C131" s="624"/>
    </row>
    <row r="132" spans="2:3">
      <c r="B132" s="621" t="str">
        <f>'Impl plan'!B144</f>
        <v>3.7.1</v>
      </c>
      <c r="C132" s="622" t="str">
        <f>'Impl plan'!C144</f>
        <v>Integrate HIV training into capacity development of the health system</v>
      </c>
    </row>
    <row r="133" spans="2:3" ht="30">
      <c r="B133" s="609" t="str">
        <f>'Impl plan'!B145</f>
        <v>3.7.1.1</v>
      </c>
      <c r="C133" s="610" t="str">
        <f>'Impl plan'!C145</f>
        <v>Provide training to address HIV specific needs for laboratory and other areas identifed through program human resources functional analysis</v>
      </c>
    </row>
    <row r="134" spans="2:3">
      <c r="B134" s="609" t="str">
        <f>'Impl plan'!B146</f>
        <v>3.7.1.1.1</v>
      </c>
      <c r="C134" s="610" t="str">
        <f>'Impl plan'!C146</f>
        <v>Develop protocol and training materials - 4 identified areas</v>
      </c>
    </row>
    <row r="135" spans="2:3">
      <c r="B135" s="609" t="str">
        <f>'Impl plan'!B147</f>
        <v>3.7.1.1.2</v>
      </c>
      <c r="C135" s="610" t="str">
        <f>'Impl plan'!C147</f>
        <v>Conduct training</v>
      </c>
    </row>
    <row r="136" spans="2:3">
      <c r="B136" s="609" t="str">
        <f>'Impl plan'!B148</f>
        <v>3.7.1.2</v>
      </c>
      <c r="C136" s="610" t="str">
        <f>'Impl plan'!C148</f>
        <v>Identify and ensure access to training in specialisations identified through human resource functional analysis - out country</v>
      </c>
    </row>
    <row r="137" spans="2:3">
      <c r="B137" s="609" t="str">
        <f>'Impl plan'!B149</f>
        <v>3.7.1.3</v>
      </c>
      <c r="C137" s="610" t="str">
        <f>'Impl plan'!C149</f>
        <v>Ensure access to training for staff of paediatric HIV services</v>
      </c>
    </row>
    <row r="138" spans="2:3">
      <c r="B138" s="611" t="str">
        <f>'Impl plan'!B150</f>
        <v>3.7.1.4</v>
      </c>
      <c r="C138" s="610" t="str">
        <f>'Impl plan'!C150</f>
        <v>Integrate basic HIV education into training for all health staff - training of master trainers</v>
      </c>
    </row>
    <row r="139" spans="2:3" ht="15" customHeight="1">
      <c r="B139" s="609" t="str">
        <f>'Impl plan'!B151</f>
        <v>3.7.2</v>
      </c>
      <c r="C139" s="610" t="str">
        <f>'Impl plan'!C151</f>
        <v>Ensure systems for drug and essential commodity supplies to minimise the risk of supply interruption and/or sub standard quality.</v>
      </c>
    </row>
    <row r="140" spans="2:3">
      <c r="B140" s="611" t="str">
        <f>'Impl plan'!B152</f>
        <v>3.7.2.1</v>
      </c>
      <c r="C140" s="610" t="str">
        <f>'Impl plan'!C152</f>
        <v>Provide technical support for ensuring regulatory frameworks mitigate risk (linked with 3.7.1.1)</v>
      </c>
    </row>
    <row r="141" spans="2:3">
      <c r="B141" s="611" t="str">
        <f>'Impl plan'!B153</f>
        <v>3.7.2.2</v>
      </c>
      <c r="C141" s="610" t="str">
        <f>'Impl plan'!C153</f>
        <v>Technical support will be provided for:(linked with 3.7.1.1)</v>
      </c>
    </row>
    <row r="142" spans="2:3" ht="30">
      <c r="B142" s="609" t="str">
        <f>'Impl plan'!B154</f>
        <v>3.7.2.2.1</v>
      </c>
      <c r="C142" s="630" t="str">
        <f>'Impl plan'!C154</f>
        <v>Reviewing the infrastructure for procurement, storage and distribution of essential drugs and other commodities (e.g. condoms/lubricant, reagents for HIV testing)</v>
      </c>
    </row>
    <row r="143" spans="2:3">
      <c r="B143" s="609" t="str">
        <f>'Impl plan'!B155</f>
        <v>3.7.2.2.2</v>
      </c>
      <c r="C143" s="630" t="str">
        <f>'Impl plan'!C155</f>
        <v>Ensuring comprehensive protocols and procedures have been and are being developed</v>
      </c>
    </row>
    <row r="144" spans="2:3">
      <c r="B144" s="609" t="str">
        <f>'Impl plan'!B156</f>
        <v>3.7.2.2.3</v>
      </c>
      <c r="C144" s="630" t="str">
        <f>'Impl plan'!C156</f>
        <v>Improving management systems and human resource capacity</v>
      </c>
    </row>
    <row r="145" spans="2:3">
      <c r="B145" s="609" t="str">
        <f>'Impl plan'!B157</f>
        <v>3.7.3</v>
      </c>
      <c r="C145" s="610" t="str">
        <f>'Impl plan'!C157</f>
        <v xml:space="preserve">Strengthen laboratory capacity to meet HIV needs. </v>
      </c>
    </row>
    <row r="146" spans="2:3">
      <c r="B146" s="611" t="str">
        <f>'Impl plan'!B158</f>
        <v>3.7.3.1</v>
      </c>
      <c r="C146" s="610" t="str">
        <f>'Impl plan'!C158</f>
        <v>Undertake laboratory needs assessment (linked with 3.7.1.1)</v>
      </c>
    </row>
    <row r="147" spans="2:3">
      <c r="B147" s="611" t="str">
        <f>'Impl plan'!B159</f>
        <v>3.7.3.2</v>
      </c>
      <c r="C147" s="610" t="str">
        <f>'Impl plan'!C159</f>
        <v>Develop protocol/guidelines for provision of laboratory services (linked with 3.7.1.1)</v>
      </c>
    </row>
    <row r="148" spans="2:3">
      <c r="B148" s="611" t="str">
        <f>'Impl plan'!B160</f>
        <v>3.7.3.3</v>
      </c>
      <c r="C148" s="610" t="str">
        <f>'Impl plan'!C160</f>
        <v>Ensure appropriate equipment is available (districts / medical college hospital)</v>
      </c>
    </row>
    <row r="149" spans="2:3" ht="30">
      <c r="B149" s="609" t="str">
        <f>'Impl plan'!B161</f>
        <v>3.7.4</v>
      </c>
      <c r="C149" s="610" t="str">
        <f>'Impl plan'!C161</f>
        <v>Develop linkages with related service areas - Integrate capacity to develop policies, procedures, protocols for shared care and refferal into management training of HIV program management staff (e.g. DIC managers, consortium management staff)</v>
      </c>
    </row>
    <row r="150" spans="2:3">
      <c r="B150" s="611" t="str">
        <f>'Impl plan'!B162</f>
        <v>3.7.4.1</v>
      </c>
      <c r="C150" s="610" t="str">
        <f>'Impl plan'!C162</f>
        <v>Development and production of referral kits</v>
      </c>
    </row>
    <row r="151" spans="2:3">
      <c r="B151" s="620" t="str">
        <f>'Impl plan'!B163</f>
        <v>3.7.4.2</v>
      </c>
      <c r="C151" s="616" t="str">
        <f>'Impl plan'!C163</f>
        <v>Conduct training for referral network development</v>
      </c>
    </row>
    <row r="152" spans="2:3">
      <c r="B152" s="623" t="str">
        <f>'Impl plan'!B164</f>
        <v>Strategy 3.8: Strengthen the community system response to HIV</v>
      </c>
      <c r="C152" s="624"/>
    </row>
    <row r="153" spans="2:3">
      <c r="B153" s="621" t="str">
        <f>'Impl plan'!B165</f>
        <v>3.8.1</v>
      </c>
      <c r="C153" s="622" t="str">
        <f>'Impl plan'!C165</f>
        <v>Strengthen role of community based organisations (CBOs) in building an enabling environment</v>
      </c>
    </row>
    <row r="154" spans="2:3">
      <c r="B154" s="611" t="str">
        <f>'Impl plan'!B166</f>
        <v>3.8.1.1</v>
      </c>
      <c r="C154" s="610" t="str">
        <f>'Impl plan'!C166</f>
        <v>Provide training for CBOs on policy development and advocacy.</v>
      </c>
    </row>
    <row r="155" spans="2:3">
      <c r="B155" s="611" t="str">
        <f>'Impl plan'!B167</f>
        <v>3.8.1.2</v>
      </c>
      <c r="C155" s="610" t="str">
        <f>'Impl plan'!C167</f>
        <v xml:space="preserve">Support mentoring / technical assistance for CBOs and network organisations </v>
      </c>
    </row>
    <row r="156" spans="2:3">
      <c r="B156" s="609" t="str">
        <f>'Impl plan'!B168</f>
        <v>3.8.2</v>
      </c>
      <c r="C156" s="610" t="str">
        <f>'Impl plan'!C168</f>
        <v>Strengthen linkages between CBOs through cross learning visits</v>
      </c>
    </row>
    <row r="157" spans="2:3">
      <c r="B157" s="609" t="str">
        <f>'Impl plan'!B169</f>
        <v>3.8.3</v>
      </c>
      <c r="C157" s="610" t="str">
        <f>'Impl plan'!C169</f>
        <v xml:space="preserve">Build sustainability of community system involvement </v>
      </c>
    </row>
    <row r="158" spans="2:3">
      <c r="B158" s="611" t="str">
        <f>'Impl plan'!B170</f>
        <v>3.8.3.1</v>
      </c>
      <c r="C158" s="610" t="str">
        <f>'Impl plan'!C170</f>
        <v>Provide financial support for core infrastructure of  CBOs to contribute to resource mobilisation and representation functions</v>
      </c>
    </row>
    <row r="159" spans="2:3">
      <c r="B159" s="611" t="str">
        <f>'Impl plan'!B171</f>
        <v>3.8.3.2</v>
      </c>
      <c r="C159" s="610" t="str">
        <f>'Impl plan'!C171</f>
        <v>Provide management training for CBOs</v>
      </c>
    </row>
    <row r="160" spans="2:3">
      <c r="B160" s="609" t="str">
        <f>'Impl plan'!B172</f>
        <v>3.8.4</v>
      </c>
      <c r="C160" s="610" t="str">
        <f>'Impl plan'!C172</f>
        <v>Provide M&amp;E training for CBOs</v>
      </c>
    </row>
    <row r="161" spans="2:3">
      <c r="B161" s="611" t="str">
        <f>'Impl plan'!B173</f>
        <v>3.8.4.1</v>
      </c>
      <c r="C161" s="610" t="str">
        <f>'Impl plan'!C173</f>
        <v>Provide leadership and accountability training for CBOs</v>
      </c>
    </row>
    <row r="162" spans="2:3">
      <c r="B162" s="611" t="str">
        <f>'Impl plan'!B174</f>
        <v>3.8.4.2</v>
      </c>
      <c r="C162" s="610" t="str">
        <f>'Impl plan'!C174</f>
        <v>Develop standards for governance and management</v>
      </c>
    </row>
    <row r="163" spans="2:3">
      <c r="B163" s="620" t="str">
        <f>'Impl plan'!B175</f>
        <v>3.8.4.3</v>
      </c>
      <c r="C163" s="616" t="str">
        <f>'Impl plan'!C175</f>
        <v>Develop and use management capacity assessment tools</v>
      </c>
    </row>
    <row r="164" spans="2:3">
      <c r="B164" s="604"/>
      <c r="C164" s="603"/>
    </row>
    <row r="165" spans="2:3">
      <c r="B165" s="604"/>
      <c r="C165" s="603"/>
    </row>
    <row r="166" spans="2:3" ht="27.6" customHeight="1">
      <c r="B166" s="846" t="str">
        <f>'Impl plan'!B176</f>
        <v>Program objective 4: To strengthen strategic information systems and research for an evidence based response</v>
      </c>
      <c r="C166" s="846"/>
    </row>
    <row r="167" spans="2:3">
      <c r="B167" s="604"/>
      <c r="C167" s="603"/>
    </row>
    <row r="168" spans="2:3">
      <c r="B168" s="617" t="str">
        <f t="shared" ref="B168:C168" si="2">B92</f>
        <v>Sl. No.</v>
      </c>
      <c r="C168" s="618" t="str">
        <f t="shared" si="2"/>
        <v>Specific Activities</v>
      </c>
    </row>
    <row r="169" spans="2:3">
      <c r="B169" s="623" t="str">
        <f>'Impl plan'!B179</f>
        <v>Strategy 4.1: Conduct comprehensive surveillance to strengthen the capacity to respond</v>
      </c>
      <c r="C169" s="624"/>
    </row>
    <row r="170" spans="2:3">
      <c r="B170" s="621" t="str">
        <f>'Impl plan'!B180</f>
        <v>4.1.1</v>
      </c>
      <c r="C170" s="622" t="str">
        <f>'Impl plan'!C180</f>
        <v>Enhanced system for case reporting of HIV</v>
      </c>
    </row>
    <row r="171" spans="2:3">
      <c r="B171" s="609" t="str">
        <f>'Impl plan'!B181</f>
        <v>4.1.2</v>
      </c>
      <c r="C171" s="610" t="str">
        <f>'Impl plan'!C181</f>
        <v xml:space="preserve">Conduct regular serological and behavioural surveillance of all key populations </v>
      </c>
    </row>
    <row r="172" spans="2:3">
      <c r="B172" s="609" t="str">
        <f>'Impl plan'!B182</f>
        <v>4.1.2.1</v>
      </c>
      <c r="C172" s="610" t="str">
        <f>'Impl plan'!C182</f>
        <v xml:space="preserve">Conduct regular serological surveillance of all key populations </v>
      </c>
    </row>
    <row r="173" spans="2:3">
      <c r="B173" s="609" t="str">
        <f>'Impl plan'!B183</f>
        <v>4.1.2.2</v>
      </c>
      <c r="C173" s="610" t="str">
        <f>'Impl plan'!C183</f>
        <v>Conduct regular behavioural surveillance of all key populations with IBBS in some places</v>
      </c>
    </row>
    <row r="174" spans="2:3">
      <c r="B174" s="609" t="str">
        <f>'Impl plan'!B184</f>
        <v>4.1.3</v>
      </c>
      <c r="C174" s="610" t="str">
        <f>'Impl plan'!C184</f>
        <v>Establish sentinel STI surveillance</v>
      </c>
    </row>
    <row r="175" spans="2:3">
      <c r="B175" s="609" t="str">
        <f>'Impl plan'!B185</f>
        <v xml:space="preserve">4.1.4 </v>
      </c>
      <c r="C175" s="610" t="str">
        <f>'Impl plan'!C185</f>
        <v>Conduct size estimation studies</v>
      </c>
    </row>
    <row r="176" spans="2:3">
      <c r="B176" s="619" t="str">
        <f>'Impl plan'!B186</f>
        <v>4.1.5</v>
      </c>
      <c r="C176" s="616" t="str">
        <f>'Impl plan'!C186</f>
        <v xml:space="preserve">Conduct HIV Drug resistance Surveillance </v>
      </c>
    </row>
    <row r="177" spans="2:3">
      <c r="B177" s="623" t="str">
        <f>'Impl plan'!B187</f>
        <v>Strategy 4.2: Conduct relevant research to inform the national strategic response</v>
      </c>
      <c r="C177" s="624"/>
    </row>
    <row r="178" spans="2:3">
      <c r="B178" s="621" t="str">
        <f>'Impl plan'!B188</f>
        <v>4.2.1</v>
      </c>
      <c r="C178" s="622" t="str">
        <f>'Impl plan'!C188</f>
        <v>Conduct studies based on emerging needs</v>
      </c>
    </row>
    <row r="179" spans="2:3">
      <c r="B179" s="609" t="str">
        <f>'Impl plan'!B189</f>
        <v>4.2.2</v>
      </c>
      <c r="C179" s="610" t="str">
        <f>'Impl plan'!C189</f>
        <v>Serological survey (HIV and Syphilis) at ANC and STI service sites in selected distrcits (PLHIV populated)</v>
      </c>
    </row>
    <row r="180" spans="2:3">
      <c r="B180" s="609" t="str">
        <f>'Impl plan'!B190</f>
        <v>4.2.3</v>
      </c>
      <c r="C180" s="610" t="str">
        <f>'Impl plan'!C190</f>
        <v>Conduct Stigma Index Study</v>
      </c>
    </row>
    <row r="181" spans="2:3" ht="30">
      <c r="B181" s="619" t="str">
        <f>'Impl plan'!B191</f>
        <v>4.2.4</v>
      </c>
      <c r="C181" s="616" t="str">
        <f>'Impl plan'!C191</f>
        <v xml:space="preserve">Conduct national workshop to prioritize as well as  review existing  research /operations research /studies; develop annual national agenda for research </v>
      </c>
    </row>
    <row r="182" spans="2:3">
      <c r="B182" s="623" t="str">
        <f>'Impl plan'!B192</f>
        <v xml:space="preserve">Strategy 4.3: Strengthen monitoring and evaluation </v>
      </c>
      <c r="C182" s="624"/>
    </row>
    <row r="183" spans="2:3">
      <c r="B183" s="621" t="str">
        <f>'Impl plan'!B193</f>
        <v>4.3.1</v>
      </c>
      <c r="C183" s="622" t="str">
        <f>'Impl plan'!C193</f>
        <v>Conduct mid-term and end-term evaluations</v>
      </c>
    </row>
    <row r="184" spans="2:3">
      <c r="B184" s="609" t="str">
        <f>'Impl plan'!B194</f>
        <v>4.3.2</v>
      </c>
      <c r="C184" s="610" t="str">
        <f>'Impl plan'!C194</f>
        <v xml:space="preserve">Produce guidelines and tools </v>
      </c>
    </row>
    <row r="185" spans="2:3">
      <c r="B185" s="609" t="str">
        <f>'Impl plan'!B195</f>
        <v>4.3.3</v>
      </c>
      <c r="C185" s="610" t="str">
        <f>'Impl plan'!C195</f>
        <v xml:space="preserve">Conduct quarterly M&amp;E TWG and coordination meetings </v>
      </c>
    </row>
    <row r="186" spans="2:3">
      <c r="B186" s="609" t="str">
        <f>'Impl plan'!B196</f>
        <v>4.3.4</v>
      </c>
      <c r="C186" s="610" t="str">
        <f>'Impl plan'!C196</f>
        <v xml:space="preserve">Periodic review and updating of the M&amp;E system and its indicators in a participatory manner </v>
      </c>
    </row>
    <row r="187" spans="2:3">
      <c r="B187" s="609" t="str">
        <f>'Impl plan'!B197</f>
        <v>4.3.5</v>
      </c>
      <c r="C187" s="610" t="str">
        <f>'Impl plan'!C197</f>
        <v xml:space="preserve">Advocacy and follow up meeting with the stakeholders  to ensure regular reporting as well as providing feedback </v>
      </c>
    </row>
    <row r="188" spans="2:3">
      <c r="B188" s="609" t="str">
        <f>'Impl plan'!B198</f>
        <v>4.3.6</v>
      </c>
      <c r="C188" s="610" t="str">
        <f>'Impl plan'!C198</f>
        <v xml:space="preserve">M&amp;E training for staff across the sector </v>
      </c>
    </row>
    <row r="189" spans="2:3">
      <c r="B189" s="609" t="str">
        <f>'Impl plan'!B199</f>
        <v>4.3.7</v>
      </c>
      <c r="C189" s="610" t="str">
        <f>'Impl plan'!C199</f>
        <v xml:space="preserve">Print and dissemination of National AIDS M&amp;E plan </v>
      </c>
    </row>
    <row r="190" spans="2:3">
      <c r="B190" s="609" t="str">
        <f>'Impl plan'!B200</f>
        <v>4.3.8</v>
      </c>
      <c r="C190" s="610" t="str">
        <f>'Impl plan'!C200</f>
        <v>Conduct regular M&amp;E visits to assess quality (third party monitoring may be considered)</v>
      </c>
    </row>
    <row r="191" spans="2:3">
      <c r="B191" s="609" t="str">
        <f>'Impl plan'!B201</f>
        <v>4.3.9</v>
      </c>
      <c r="C191" s="610" t="str">
        <f>'Impl plan'!C201</f>
        <v xml:space="preserve">Develop, print and disseminate UNGASS/GARPR report every year </v>
      </c>
    </row>
    <row r="192" spans="2:3">
      <c r="B192" s="619" t="str">
        <f>'Impl plan'!B202</f>
        <v>4.3.10</v>
      </c>
      <c r="C192" s="616" t="str">
        <f>'Impl plan'!C202</f>
        <v>Conduct evaluation of design and effectiveness of current targeted interventions</v>
      </c>
    </row>
    <row r="193" spans="2:3">
      <c r="B193" s="623" t="str">
        <f>'Impl plan'!B203</f>
        <v>Strategy 4.4: Improve systems for knowledge management</v>
      </c>
      <c r="C193" s="624"/>
    </row>
    <row r="194" spans="2:3">
      <c r="B194" s="621" t="str">
        <f>'Impl plan'!B204</f>
        <v>4.4.1</v>
      </c>
      <c r="C194" s="622" t="str">
        <f>'Impl plan'!C204</f>
        <v>Implement HIV Mangement Information system</v>
      </c>
    </row>
    <row r="195" spans="2:3">
      <c r="B195" s="611" t="str">
        <f>'Impl plan'!B205</f>
        <v>4.4.1.1</v>
      </c>
      <c r="C195" s="610" t="str">
        <f>'Impl plan'!C205</f>
        <v>Development/update and installation of software</v>
      </c>
    </row>
    <row r="196" spans="2:3">
      <c r="B196" s="611" t="str">
        <f>'Impl plan'!B206</f>
        <v>4.4.1.2</v>
      </c>
      <c r="C196" s="610" t="str">
        <f>'Impl plan'!C206</f>
        <v>Maintain HIV Management Information System</v>
      </c>
    </row>
    <row r="197" spans="2:3">
      <c r="B197" s="609" t="str">
        <f>'Impl plan'!B207</f>
        <v>4.4.2</v>
      </c>
      <c r="C197" s="610" t="str">
        <f>'Impl plan'!C207</f>
        <v>Establish HIV reporting and maintain PLHIV database</v>
      </c>
    </row>
    <row r="198" spans="2:3">
      <c r="B198" s="609" t="str">
        <f>'Impl plan'!B208</f>
        <v>4.4.3</v>
      </c>
      <c r="C198" s="610" t="str">
        <f>'Impl plan'!C208</f>
        <v>Number of times per year HIV web based site for dissemination of HIV strategic information is updated</v>
      </c>
    </row>
    <row r="199" spans="2:3">
      <c r="B199" s="609" t="str">
        <f>'Impl plan'!B209</f>
        <v>4.4.4</v>
      </c>
      <c r="C199" s="610" t="str">
        <f>'Impl plan'!C209</f>
        <v>Development of inventory of all relevant resources</v>
      </c>
    </row>
    <row r="200" spans="2:3">
      <c r="B200" s="609" t="str">
        <f>'Impl plan'!B210</f>
        <v>4.4.5</v>
      </c>
      <c r="C200" s="610" t="str">
        <f>'Impl plan'!C210</f>
        <v xml:space="preserve">Conduct National AIDS spending Survey (NASA), share  and use the findings accordingly </v>
      </c>
    </row>
    <row r="201" spans="2:3">
      <c r="B201" s="609" t="str">
        <f>'Impl plan'!B211</f>
        <v>4.4.6</v>
      </c>
      <c r="C201" s="610" t="str">
        <f>'Impl plan'!C211</f>
        <v xml:space="preserve">Commission  secondary analysis,of data  triangulation  based on BSS and BDHS data and disseminate the findings </v>
      </c>
    </row>
    <row r="202" spans="2:3">
      <c r="B202" s="609" t="str">
        <f>'Impl plan'!B212</f>
        <v>4.4.7</v>
      </c>
      <c r="C202" s="610" t="str">
        <f>'Impl plan'!C212</f>
        <v xml:space="preserve">Prepare evidence based policy and program briefs </v>
      </c>
    </row>
    <row r="203" spans="2:3">
      <c r="B203" s="619" t="str">
        <f>'Impl plan'!B213</f>
        <v>4.4.8</v>
      </c>
      <c r="C203" s="616" t="str">
        <f>'Impl plan'!C213</f>
        <v>Conduct 6-monthly dissemination workshops</v>
      </c>
    </row>
  </sheetData>
  <mergeCells count="11">
    <mergeCell ref="B60:C60"/>
    <mergeCell ref="B3:C3"/>
    <mergeCell ref="B90:C90"/>
    <mergeCell ref="B166:C166"/>
    <mergeCell ref="B6:C6"/>
    <mergeCell ref="B66:C66"/>
    <mergeCell ref="B115:C115"/>
    <mergeCell ref="B103:C103"/>
    <mergeCell ref="B36:C36"/>
    <mergeCell ref="B63:C63"/>
    <mergeCell ref="B76:C7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assumption</vt:lpstr>
      <vt:lpstr>Impl plan</vt:lpstr>
      <vt:lpstr>Unit Cost</vt:lpstr>
      <vt:lpstr>Costed Impl plan</vt:lpstr>
      <vt:lpstr>Budget</vt:lpstr>
      <vt:lpstr>Activities</vt:lpstr>
      <vt:lpstr>Budget!Print_Titles</vt:lpstr>
      <vt:lpstr>'Costed Impl plan'!Print_Titles</vt:lpstr>
      <vt:lpstr>'Impl plan'!Print_Titles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Nazmul Huq</dc:creator>
  <cp:lastModifiedBy>Zulfikar</cp:lastModifiedBy>
  <cp:lastPrinted>2017-01-30T09:08:00Z</cp:lastPrinted>
  <dcterms:created xsi:type="dcterms:W3CDTF">2014-03-05T08:11:14Z</dcterms:created>
  <dcterms:modified xsi:type="dcterms:W3CDTF">2020-03-09T12:58:30Z</dcterms:modified>
</cp:coreProperties>
</file>